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osan-my.sharepoint.com/personal/dmcintyre_corp_doosan_com/Documents/Documents/00-David/Financial Information/"/>
    </mc:Choice>
  </mc:AlternateContent>
  <xr:revisionPtr revIDLastSave="99" documentId="8_{E029AA6C-3E21-4C75-A8C2-DACF1BABD56E}" xr6:coauthVersionLast="47" xr6:coauthVersionMax="47" xr10:uidLastSave="{8B1C267B-04EE-436E-B166-B46283E0ACB0}"/>
  <bookViews>
    <workbookView xWindow="-108" yWindow="-108" windowWidth="23256" windowHeight="12456" xr2:uid="{1868FA7F-EDD5-4A4F-9745-47C75717BF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1" l="1"/>
  <c r="C61" i="1" s="1"/>
  <c r="C77" i="1"/>
  <c r="C70" i="1"/>
  <c r="C66" i="1"/>
  <c r="C62" i="1"/>
  <c r="D58" i="1"/>
  <c r="D57" i="1"/>
  <c r="D56" i="1"/>
  <c r="D55" i="1"/>
  <c r="D51" i="1"/>
  <c r="C51" i="1"/>
  <c r="C49" i="1"/>
  <c r="D50" i="1" s="1"/>
  <c r="S33" i="1"/>
  <c r="Q33" i="1"/>
  <c r="N33" i="1"/>
  <c r="K33" i="1"/>
  <c r="I33" i="1"/>
  <c r="F33" i="1"/>
  <c r="E33" i="1"/>
  <c r="D33" i="1"/>
  <c r="C33" i="1"/>
  <c r="O32" i="1"/>
  <c r="P32" i="1" s="1"/>
  <c r="G32" i="1"/>
  <c r="H32" i="1" s="1"/>
  <c r="U31" i="1"/>
  <c r="T31" i="1"/>
  <c r="R31" i="1"/>
  <c r="P31" i="1"/>
  <c r="O31" i="1"/>
  <c r="G31" i="1"/>
  <c r="H31" i="1" s="1"/>
  <c r="O30" i="1"/>
  <c r="P30" i="1" s="1"/>
  <c r="H30" i="1"/>
  <c r="J30" i="1" s="1"/>
  <c r="G30" i="1"/>
  <c r="P29" i="1"/>
  <c r="T29" i="1" s="1"/>
  <c r="U29" i="1" s="1"/>
  <c r="O29" i="1"/>
  <c r="G29" i="1"/>
  <c r="H29" i="1" s="1"/>
  <c r="U28" i="1"/>
  <c r="T28" i="1"/>
  <c r="P28" i="1"/>
  <c r="R28" i="1" s="1"/>
  <c r="O28" i="1"/>
  <c r="H28" i="1"/>
  <c r="L28" i="1" s="1"/>
  <c r="M28" i="1" s="1"/>
  <c r="G28" i="1"/>
  <c r="T27" i="1"/>
  <c r="U27" i="1" s="1"/>
  <c r="R27" i="1"/>
  <c r="P27" i="1"/>
  <c r="O27" i="1"/>
  <c r="M27" i="1"/>
  <c r="L27" i="1"/>
  <c r="J27" i="1"/>
  <c r="H27" i="1"/>
  <c r="G27" i="1"/>
  <c r="O26" i="1"/>
  <c r="P26" i="1" s="1"/>
  <c r="G26" i="1"/>
  <c r="H26" i="1" s="1"/>
  <c r="U25" i="1"/>
  <c r="T25" i="1"/>
  <c r="R25" i="1"/>
  <c r="P25" i="1"/>
  <c r="O25" i="1"/>
  <c r="G25" i="1"/>
  <c r="H25" i="1" s="1"/>
  <c r="O24" i="1"/>
  <c r="P24" i="1" s="1"/>
  <c r="H24" i="1"/>
  <c r="J24" i="1" s="1"/>
  <c r="G24" i="1"/>
  <c r="P23" i="1"/>
  <c r="T23" i="1" s="1"/>
  <c r="U23" i="1" s="1"/>
  <c r="O23" i="1"/>
  <c r="G23" i="1"/>
  <c r="H23" i="1" s="1"/>
  <c r="U22" i="1"/>
  <c r="T22" i="1"/>
  <c r="P22" i="1"/>
  <c r="R22" i="1" s="1"/>
  <c r="O22" i="1"/>
  <c r="H22" i="1"/>
  <c r="L22" i="1" s="1"/>
  <c r="M22" i="1" s="1"/>
  <c r="G22" i="1"/>
  <c r="T21" i="1"/>
  <c r="U21" i="1" s="1"/>
  <c r="R21" i="1"/>
  <c r="P21" i="1"/>
  <c r="O21" i="1"/>
  <c r="M21" i="1"/>
  <c r="L21" i="1"/>
  <c r="J21" i="1"/>
  <c r="H21" i="1"/>
  <c r="G21" i="1"/>
  <c r="O20" i="1"/>
  <c r="P20" i="1" s="1"/>
  <c r="G20" i="1"/>
  <c r="H20" i="1" s="1"/>
  <c r="U19" i="1"/>
  <c r="T19" i="1"/>
  <c r="R19" i="1"/>
  <c r="P19" i="1"/>
  <c r="O19" i="1"/>
  <c r="G19" i="1"/>
  <c r="H19" i="1" s="1"/>
  <c r="O18" i="1"/>
  <c r="P18" i="1" s="1"/>
  <c r="H18" i="1"/>
  <c r="J18" i="1" s="1"/>
  <c r="G18" i="1"/>
  <c r="P17" i="1"/>
  <c r="T17" i="1" s="1"/>
  <c r="U17" i="1" s="1"/>
  <c r="O17" i="1"/>
  <c r="G17" i="1"/>
  <c r="H17" i="1" s="1"/>
  <c r="U16" i="1"/>
  <c r="T16" i="1"/>
  <c r="P16" i="1"/>
  <c r="R16" i="1" s="1"/>
  <c r="O16" i="1"/>
  <c r="H16" i="1"/>
  <c r="L16" i="1" s="1"/>
  <c r="M16" i="1" s="1"/>
  <c r="G16" i="1"/>
  <c r="T15" i="1"/>
  <c r="U15" i="1" s="1"/>
  <c r="R15" i="1"/>
  <c r="P15" i="1"/>
  <c r="O15" i="1"/>
  <c r="M15" i="1"/>
  <c r="L15" i="1"/>
  <c r="J15" i="1"/>
  <c r="H15" i="1"/>
  <c r="G15" i="1"/>
  <c r="O14" i="1"/>
  <c r="P14" i="1" s="1"/>
  <c r="G14" i="1"/>
  <c r="H14" i="1" s="1"/>
  <c r="U13" i="1"/>
  <c r="T13" i="1"/>
  <c r="R13" i="1"/>
  <c r="P13" i="1"/>
  <c r="O13" i="1"/>
  <c r="G13" i="1"/>
  <c r="H13" i="1" s="1"/>
  <c r="O12" i="1"/>
  <c r="P12" i="1" s="1"/>
  <c r="H12" i="1"/>
  <c r="J12" i="1" s="1"/>
  <c r="G12" i="1"/>
  <c r="P11" i="1"/>
  <c r="T11" i="1" s="1"/>
  <c r="U11" i="1" s="1"/>
  <c r="O11" i="1"/>
  <c r="G11" i="1"/>
  <c r="H11" i="1" s="1"/>
  <c r="U10" i="1"/>
  <c r="T10" i="1"/>
  <c r="P10" i="1"/>
  <c r="R10" i="1" s="1"/>
  <c r="O10" i="1"/>
  <c r="H10" i="1"/>
  <c r="L10" i="1" s="1"/>
  <c r="M10" i="1" s="1"/>
  <c r="G10" i="1"/>
  <c r="T9" i="1"/>
  <c r="U9" i="1" s="1"/>
  <c r="R9" i="1"/>
  <c r="P9" i="1"/>
  <c r="O9" i="1"/>
  <c r="M9" i="1"/>
  <c r="L9" i="1"/>
  <c r="J9" i="1"/>
  <c r="H9" i="1"/>
  <c r="G9" i="1"/>
  <c r="O8" i="1"/>
  <c r="P8" i="1" s="1"/>
  <c r="G8" i="1"/>
  <c r="H8" i="1" s="1"/>
  <c r="U7" i="1"/>
  <c r="T7" i="1"/>
  <c r="R7" i="1"/>
  <c r="P7" i="1"/>
  <c r="O7" i="1"/>
  <c r="G7" i="1"/>
  <c r="H7" i="1" s="1"/>
  <c r="O6" i="1"/>
  <c r="P6" i="1" s="1"/>
  <c r="H6" i="1"/>
  <c r="J6" i="1" s="1"/>
  <c r="G6" i="1"/>
  <c r="P5" i="1"/>
  <c r="T5" i="1" s="1"/>
  <c r="U5" i="1" s="1"/>
  <c r="O5" i="1"/>
  <c r="G5" i="1"/>
  <c r="G33" i="1" s="1"/>
  <c r="U4" i="1"/>
  <c r="T4" i="1"/>
  <c r="P4" i="1"/>
  <c r="R4" i="1" s="1"/>
  <c r="O4" i="1"/>
  <c r="H4" i="1"/>
  <c r="L4" i="1" s="1"/>
  <c r="M4" i="1" s="1"/>
  <c r="G4" i="1"/>
  <c r="T3" i="1"/>
  <c r="R3" i="1"/>
  <c r="P3" i="1"/>
  <c r="O3" i="1"/>
  <c r="O33" i="1" s="1"/>
  <c r="M3" i="1"/>
  <c r="L3" i="1"/>
  <c r="J3" i="1"/>
  <c r="H3" i="1"/>
  <c r="G3" i="1"/>
  <c r="T24" i="1" l="1"/>
  <c r="U24" i="1" s="1"/>
  <c r="R24" i="1"/>
  <c r="L29" i="1"/>
  <c r="M29" i="1" s="1"/>
  <c r="J29" i="1"/>
  <c r="L32" i="1"/>
  <c r="M32" i="1" s="1"/>
  <c r="J32" i="1"/>
  <c r="J25" i="1"/>
  <c r="L25" i="1"/>
  <c r="M25" i="1" s="1"/>
  <c r="T32" i="1"/>
  <c r="U32" i="1" s="1"/>
  <c r="R32" i="1"/>
  <c r="T12" i="1"/>
  <c r="U12" i="1" s="1"/>
  <c r="R12" i="1"/>
  <c r="L17" i="1"/>
  <c r="M17" i="1" s="1"/>
  <c r="J17" i="1"/>
  <c r="L20" i="1"/>
  <c r="M20" i="1" s="1"/>
  <c r="J20" i="1"/>
  <c r="J13" i="1"/>
  <c r="L13" i="1"/>
  <c r="M13" i="1" s="1"/>
  <c r="T20" i="1"/>
  <c r="U20" i="1" s="1"/>
  <c r="R20" i="1"/>
  <c r="D40" i="1"/>
  <c r="E40" i="1" s="1"/>
  <c r="D43" i="1"/>
  <c r="E43" i="1" s="1"/>
  <c r="D45" i="1"/>
  <c r="E45" i="1" s="1"/>
  <c r="D42" i="1"/>
  <c r="E42" i="1" s="1"/>
  <c r="D39" i="1"/>
  <c r="E39" i="1" s="1"/>
  <c r="D46" i="1"/>
  <c r="E46" i="1" s="1"/>
  <c r="D44" i="1"/>
  <c r="E44" i="1" s="1"/>
  <c r="D41" i="1"/>
  <c r="E41" i="1" s="1"/>
  <c r="D38" i="1"/>
  <c r="E38" i="1" s="1"/>
  <c r="D37" i="1"/>
  <c r="E37" i="1" s="1"/>
  <c r="L8" i="1"/>
  <c r="M8" i="1" s="1"/>
  <c r="J8" i="1"/>
  <c r="T8" i="1"/>
  <c r="U8" i="1" s="1"/>
  <c r="R8" i="1"/>
  <c r="T30" i="1"/>
  <c r="U30" i="1" s="1"/>
  <c r="R30" i="1"/>
  <c r="F45" i="1"/>
  <c r="G45" i="1" s="1"/>
  <c r="F42" i="1"/>
  <c r="G42" i="1" s="1"/>
  <c r="F39" i="1"/>
  <c r="G39" i="1" s="1"/>
  <c r="F44" i="1"/>
  <c r="G44" i="1" s="1"/>
  <c r="F41" i="1"/>
  <c r="G41" i="1" s="1"/>
  <c r="F38" i="1"/>
  <c r="G38" i="1" s="1"/>
  <c r="F46" i="1"/>
  <c r="G46" i="1" s="1"/>
  <c r="F43" i="1"/>
  <c r="G43" i="1" s="1"/>
  <c r="F40" i="1"/>
  <c r="G40" i="1" s="1"/>
  <c r="F37" i="1"/>
  <c r="G37" i="1" s="1"/>
  <c r="J31" i="1"/>
  <c r="L31" i="1"/>
  <c r="M31" i="1" s="1"/>
  <c r="P33" i="1"/>
  <c r="T18" i="1"/>
  <c r="U18" i="1" s="1"/>
  <c r="R18" i="1"/>
  <c r="L23" i="1"/>
  <c r="M23" i="1" s="1"/>
  <c r="J23" i="1"/>
  <c r="L26" i="1"/>
  <c r="M26" i="1" s="1"/>
  <c r="J26" i="1"/>
  <c r="D66" i="1"/>
  <c r="J19" i="1"/>
  <c r="L19" i="1"/>
  <c r="M19" i="1" s="1"/>
  <c r="T26" i="1"/>
  <c r="U26" i="1" s="1"/>
  <c r="R26" i="1"/>
  <c r="D70" i="1"/>
  <c r="T33" i="1"/>
  <c r="T6" i="1"/>
  <c r="U6" i="1" s="1"/>
  <c r="R6" i="1"/>
  <c r="L11" i="1"/>
  <c r="M11" i="1" s="1"/>
  <c r="J11" i="1"/>
  <c r="L14" i="1"/>
  <c r="M14" i="1" s="1"/>
  <c r="J14" i="1"/>
  <c r="J7" i="1"/>
  <c r="L7" i="1"/>
  <c r="M7" i="1" s="1"/>
  <c r="T14" i="1"/>
  <c r="U14" i="1" s="1"/>
  <c r="R14" i="1"/>
  <c r="D77" i="1"/>
  <c r="D76" i="1"/>
  <c r="C59" i="1"/>
  <c r="D69" i="1"/>
  <c r="D62" i="1"/>
  <c r="D83" i="1"/>
  <c r="U3" i="1"/>
  <c r="H5" i="1"/>
  <c r="L6" i="1"/>
  <c r="M6" i="1" s="1"/>
  <c r="L12" i="1"/>
  <c r="M12" i="1" s="1"/>
  <c r="L18" i="1"/>
  <c r="M18" i="1" s="1"/>
  <c r="L24" i="1"/>
  <c r="M24" i="1" s="1"/>
  <c r="L30" i="1"/>
  <c r="M30" i="1" s="1"/>
  <c r="J4" i="1"/>
  <c r="J10" i="1"/>
  <c r="J16" i="1"/>
  <c r="J22" i="1"/>
  <c r="J28" i="1"/>
  <c r="R5" i="1"/>
  <c r="R33" i="1" s="1"/>
  <c r="R11" i="1"/>
  <c r="R17" i="1"/>
  <c r="R23" i="1"/>
  <c r="R29" i="1"/>
  <c r="H33" i="1" l="1"/>
  <c r="L5" i="1"/>
  <c r="J5" i="1"/>
  <c r="J33" i="1" s="1"/>
  <c r="U33" i="1"/>
  <c r="M5" i="1" l="1"/>
  <c r="M33" i="1" s="1"/>
  <c r="L33" i="1"/>
</calcChain>
</file>

<file path=xl/sharedStrings.xml><?xml version="1.0" encoding="utf-8"?>
<sst xmlns="http://schemas.openxmlformats.org/spreadsheetml/2006/main" count="118" uniqueCount="112">
  <si>
    <t>Company</t>
  </si>
  <si>
    <t>Revenue-2023</t>
  </si>
  <si>
    <t>Gross Profits-2023</t>
  </si>
  <si>
    <t>Employees</t>
  </si>
  <si>
    <t>Corporate Tax Rate-2023 Rate</t>
  </si>
  <si>
    <t>Corporate Tax-2023 Rate</t>
  </si>
  <si>
    <t>Post Tax Balance-2023 Rate</t>
  </si>
  <si>
    <t>Corporate Entitlement-2023 Rate</t>
  </si>
  <si>
    <t>Corporate Entitlement Amount-2023 Rate</t>
  </si>
  <si>
    <t>Employee Entitlement-2023 Rate</t>
  </si>
  <si>
    <t>Employee Entitlement Amount-2023 Rate</t>
  </si>
  <si>
    <t>Yearly Raise Per Employee-2023 Rate</t>
  </si>
  <si>
    <t>Corporate Tax Rate-1942 Rate</t>
  </si>
  <si>
    <t>Corporate Tax-1942 Rate</t>
  </si>
  <si>
    <t>Post Tax Balance-1942 Rate</t>
  </si>
  <si>
    <t>Corporate Entitlement-1942 Rate</t>
  </si>
  <si>
    <t>Corporate Entitlement Amount-1942 Rate</t>
  </si>
  <si>
    <t>Employee Entitlement-1942 Rate</t>
  </si>
  <si>
    <t>Employee Entitlement Amount-1942 Rate</t>
  </si>
  <si>
    <t>Yearly Raise Per Employee-1942 Rate</t>
  </si>
  <si>
    <t>Walmart Inc. (NYSE:WMT)</t>
  </si>
  <si>
    <t>Amazon.com Inc. (NASDAQ:AMZN)</t>
  </si>
  <si>
    <t>Apple Inc. (NASDAQ:AAPL)</t>
  </si>
  <si>
    <t>UnitedHealth Group Inc. (NYSE:UNH)</t>
  </si>
  <si>
    <t>Berkshire Hathaway Inc. (NYSE:BRK-B)</t>
  </si>
  <si>
    <t>CVS Health Corporation (NYSE:CVS)</t>
  </si>
  <si>
    <t>Exxon Mobil Corporation (NYSE:XOM)</t>
  </si>
  <si>
    <t>Alphabet Inc. (NASDAQ:GOOGL)</t>
  </si>
  <si>
    <t>McKesson Corporation (NYSE:MCK)</t>
  </si>
  <si>
    <t>Cencora Inc. (NYSE:COR)</t>
  </si>
  <si>
    <t>Costco Wholesale Corporation (NASDAQ:COST)</t>
  </si>
  <si>
    <t>JPMorgan Chase &amp; Co. (NYSE:JPM)</t>
  </si>
  <si>
    <t>Microsoft Corporation (NASDAQ:MSFT)</t>
  </si>
  <si>
    <t>Cardinal Health Inc. (NYSE:CAH)</t>
  </si>
  <si>
    <t>Chevron Corporation (NYSE:CVX)</t>
  </si>
  <si>
    <t>Cigna Corporation (NYSE:CI)</t>
  </si>
  <si>
    <t>Ford Motor Company (NYSE:F)</t>
  </si>
  <si>
    <t>General Motors Company (NYSE:GM)</t>
  </si>
  <si>
    <t>Elevance Health Inc. (NYSE:ELV)</t>
  </si>
  <si>
    <t>Centene Corporation (NYSE:CNC)</t>
  </si>
  <si>
    <t>The Home Depot Inc. (NYSE:HD)</t>
  </si>
  <si>
    <t>The Kroger Co. (NYSE:KR)</t>
  </si>
  <si>
    <t>Marathon Petroleum Corporation (NYSE:MPC)</t>
  </si>
  <si>
    <t>Phillips 66 (NYSE:PSX)</t>
  </si>
  <si>
    <t>Valero Energy Corporation (NYSE:VLO)</t>
  </si>
  <si>
    <t>Walgreens Boots Alliance Inc. (NASDAQ:WBA)</t>
  </si>
  <si>
    <t>Meta Platforms Inc. (NASDAQ:META)</t>
  </si>
  <si>
    <t>Verizon Communications Inc. (NYSE:VZ)</t>
  </si>
  <si>
    <t>AT&amp;T Inc. (NYSE:T)</t>
  </si>
  <si>
    <t>Comcast Corporation (NASDAQ:CMCSA)</t>
  </si>
  <si>
    <t>Total</t>
  </si>
  <si>
    <t>Health &amp; Education Plans</t>
  </si>
  <si>
    <t>Health &amp; Education Costs</t>
  </si>
  <si>
    <t>Top 30 Corporate Tax-2023 Rate</t>
  </si>
  <si>
    <t>Balance-2023 Rate</t>
  </si>
  <si>
    <t>Top 30 Corporate Tax-1942 Rate</t>
  </si>
  <si>
    <t>Balance-1942 Rate</t>
  </si>
  <si>
    <t>Current US Medical Debt</t>
  </si>
  <si>
    <t>Cost of Universal Health Care (average)</t>
  </si>
  <si>
    <t>Current US Student Loan Debt</t>
  </si>
  <si>
    <t>Cost of Free Education: The American Family Plan-low</t>
  </si>
  <si>
    <t>Cost of Free Education: The American Family Plan-high</t>
  </si>
  <si>
    <t xml:space="preserve">College For All Act </t>
  </si>
  <si>
    <t>America’s College Promise Act</t>
  </si>
  <si>
    <t>Last-Dollar Tuition-Free Programs</t>
  </si>
  <si>
    <t>First-Dollar Tuition-free Programs</t>
  </si>
  <si>
    <t>Debt-free Programs</t>
  </si>
  <si>
    <t>FEDERAL BUDGET 2023</t>
  </si>
  <si>
    <t>Total Revenue</t>
  </si>
  <si>
    <t>Percentage of Total Revenue</t>
  </si>
  <si>
    <t>Individual Income Taxes</t>
  </si>
  <si>
    <t>Payroll Taxes</t>
  </si>
  <si>
    <t>Medicare</t>
  </si>
  <si>
    <t>Social Security</t>
  </si>
  <si>
    <t>Other</t>
  </si>
  <si>
    <t>Corporate Income Tax</t>
  </si>
  <si>
    <t>Customs Duties</t>
  </si>
  <si>
    <t>Sales and Excise Tax</t>
  </si>
  <si>
    <t>Deficit</t>
  </si>
  <si>
    <t>Total Spending</t>
  </si>
  <si>
    <t>Percentage of Total Spend</t>
  </si>
  <si>
    <t>Retirement</t>
  </si>
  <si>
    <t>Disability</t>
  </si>
  <si>
    <t>National Defense and Veterans</t>
  </si>
  <si>
    <t>Defense</t>
  </si>
  <si>
    <t>Veterans</t>
  </si>
  <si>
    <t>Assistance to Individuals</t>
  </si>
  <si>
    <t>SNAP and other nutritional programs</t>
  </si>
  <si>
    <t>Other medical assistance</t>
  </si>
  <si>
    <t>SSI</t>
  </si>
  <si>
    <t>ETIC</t>
  </si>
  <si>
    <t>Other Assistance to Individuals</t>
  </si>
  <si>
    <t>Net Interest on the Debt</t>
  </si>
  <si>
    <t>Transfers to States</t>
  </si>
  <si>
    <t>Medicaid and CHIP</t>
  </si>
  <si>
    <t>Transportation</t>
  </si>
  <si>
    <t>Education</t>
  </si>
  <si>
    <t>Child and Social Services</t>
  </si>
  <si>
    <t>Other transfers to States</t>
  </si>
  <si>
    <t>Other Spending</t>
  </si>
  <si>
    <t>Public Health</t>
  </si>
  <si>
    <t>Banking and Finance</t>
  </si>
  <si>
    <t>Sources</t>
  </si>
  <si>
    <t>https://en.wikipedia.org/wiki/Corporate_tax_in_the_United_States</t>
  </si>
  <si>
    <t>https://finance.yahoo.com/news/top-30-largest-us-companies-134902253.html</t>
  </si>
  <si>
    <t>https://www.insidermonkey.com/blog/top-5-largest-us-companies-by-2023-revenue-1237345/</t>
  </si>
  <si>
    <t>https://www.macrotrends.net/stocks/charts/</t>
  </si>
  <si>
    <t>https://www.kff.org/health-costs/issue-brief/the-burden-of-medical-debt-in-the-united-states/</t>
  </si>
  <si>
    <t>https://educationdata.org/student-loan-debt-statistics</t>
  </si>
  <si>
    <t>https://www.ncbi.nlm.nih.gov/pmc/articles/PMC7692272/</t>
  </si>
  <si>
    <t>https://educationdata.org/how-much-would-free-college-cost</t>
  </si>
  <si>
    <t>https://usafacts.org/state-of-the-union/budget/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</si>
</sst>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Aptos"/>
      <family val="2"/>
    </font>
    <font>
      <sz val="11"/>
      <color theme="1"/>
      <name val="Aptos"/>
      <family val="2"/>
    </font>
    <font>
      <sz val="10"/>
      <color theme="1"/>
      <name val="Aptos Display"/>
      <family val="2"/>
    </font>
    <font>
      <b/>
      <sz val="10"/>
      <color theme="1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39" fontId="2" fillId="2" borderId="0" xfId="0" applyNumberFormat="1" applyFont="1" applyFill="1"/>
    <xf numFmtId="37" fontId="2" fillId="2" borderId="0" xfId="0" applyNumberFormat="1" applyFont="1" applyFill="1"/>
    <xf numFmtId="9" fontId="2" fillId="0" borderId="0" xfId="1" applyFont="1"/>
    <xf numFmtId="39" fontId="2" fillId="0" borderId="0" xfId="0" applyNumberFormat="1" applyFont="1"/>
    <xf numFmtId="9" fontId="2" fillId="0" borderId="0" xfId="0" applyNumberFormat="1" applyFont="1"/>
    <xf numFmtId="0" fontId="2" fillId="0" borderId="0" xfId="0" applyFont="1" applyAlignment="1">
      <alignment horizontal="center"/>
    </xf>
    <xf numFmtId="0" fontId="2" fillId="3" borderId="0" xfId="0" applyFont="1" applyFill="1"/>
    <xf numFmtId="39" fontId="2" fillId="3" borderId="0" xfId="0" applyNumberFormat="1" applyFont="1" applyFill="1"/>
    <xf numFmtId="0" fontId="2" fillId="4" borderId="0" xfId="0" applyFont="1" applyFill="1"/>
    <xf numFmtId="39" fontId="2" fillId="4" borderId="0" xfId="0" applyNumberFormat="1" applyFont="1" applyFill="1"/>
    <xf numFmtId="0" fontId="3" fillId="0" borderId="0" xfId="0" applyFont="1"/>
    <xf numFmtId="0" fontId="3" fillId="0" borderId="0" xfId="0" applyFont="1"/>
    <xf numFmtId="39" fontId="3" fillId="0" borderId="0" xfId="0" applyNumberFormat="1" applyFont="1"/>
    <xf numFmtId="10" fontId="2" fillId="0" borderId="0" xfId="1" applyNumberFormat="1" applyFont="1"/>
    <xf numFmtId="0" fontId="2" fillId="0" borderId="0" xfId="0" applyFont="1"/>
    <xf numFmtId="10" fontId="3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fill>
        <patternFill patternType="solid">
          <fgColor indexed="64"/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5" formatCode="#,##0_);\(#,##0\)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5" formatCode="#,##0_);\(#,##0\)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numFmt numFmtId="7" formatCode="#,##0.00_);\(#,##0.00\)"/>
      <fill>
        <patternFill patternType="solid">
          <fgColor indexed="64"/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none"/>
      </font>
      <alignment horizontal="center" vertical="top" textRotation="0" wrapText="1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</font>
      <border>
        <top style="thick">
          <color auto="1"/>
        </top>
      </border>
    </dxf>
    <dxf>
      <font>
        <b/>
        <i val="0"/>
        <strike val="0"/>
      </font>
      <fill>
        <patternFill>
          <bgColor rgb="FF86BC25"/>
        </patternFill>
      </fill>
    </dxf>
    <dxf>
      <border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4" xr9:uid="{7AF92C08-F218-4A7A-8CBC-3EEB2A58C9E9}">
      <tableStyleElement type="wholeTable" dxfId="53"/>
      <tableStyleElement type="headerRow" dxfId="52"/>
      <tableStyleElement type="totalRow" dxfId="51"/>
      <tableStyleElement type="firstRowStripe" dxfId="5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52C73E-60C9-425E-BF6B-28415610F20F}" name="Table13" displayName="Table13" ref="B2:U33" totalsRowCount="1" headerRowDxfId="49" dataDxfId="48">
  <autoFilter ref="B2:U32" xr:uid="{A052C73E-60C9-425E-BF6B-28415610F20F}"/>
  <sortState xmlns:xlrd2="http://schemas.microsoft.com/office/spreadsheetml/2017/richdata2" ref="B3:U32">
    <sortCondition descending="1" ref="C2:C32"/>
  </sortState>
  <tableColumns count="20">
    <tableColumn id="1" xr3:uid="{7E664EA4-F20D-45AF-932E-9ED8B56A26DD}" name="Company" totalsRowLabel="Total" dataDxfId="46" totalsRowDxfId="47"/>
    <tableColumn id="2" xr3:uid="{5BB6253C-D9A7-4F18-9B69-63BD83222388}" name="Revenue-2023" totalsRowFunction="sum" dataDxfId="44" totalsRowDxfId="45"/>
    <tableColumn id="3" xr3:uid="{90596C6A-1F7C-4998-A1F9-BC34E89B52F6}" name="Gross Profits-2023" totalsRowFunction="sum" dataDxfId="42" totalsRowDxfId="43"/>
    <tableColumn id="4" xr3:uid="{3F501553-FE1D-4521-B463-13D8C9A890BF}" name="Employees" totalsRowFunction="sum" dataDxfId="40" totalsRowDxfId="41"/>
    <tableColumn id="5" xr3:uid="{C6A53490-BC98-4BC3-8DFD-E2EF6D460829}" name="Corporate Tax Rate-2023 Rate" totalsRowFunction="average" dataDxfId="38" totalsRowDxfId="39" dataCellStyle="Percent"/>
    <tableColumn id="6" xr3:uid="{7FB6DD70-AE5C-4747-96DC-13BB290B0C4F}" name="Corporate Tax-2023 Rate" totalsRowFunction="sum" dataDxfId="36" totalsRowDxfId="37">
      <calculatedColumnFormula>D3*F3</calculatedColumnFormula>
    </tableColumn>
    <tableColumn id="7" xr3:uid="{7390BFFA-96AC-4A76-AD1F-EB2886610567}" name="Post Tax Balance-2023 Rate" totalsRowFunction="sum" dataDxfId="34" totalsRowDxfId="35">
      <calculatedColumnFormula>D3-G3</calculatedColumnFormula>
    </tableColumn>
    <tableColumn id="8" xr3:uid="{BC97D570-8974-47B9-AAC3-EA6B243C13B9}" name="Corporate Entitlement-2023 Rate" totalsRowFunction="average" dataDxfId="32" totalsRowDxfId="33" dataCellStyle="Percent"/>
    <tableColumn id="9" xr3:uid="{7E451CCA-FA41-45C2-A237-6B7724ADFC57}" name="Corporate Entitlement Amount-2023 Rate" totalsRowFunction="sum" dataDxfId="30" totalsRowDxfId="31">
      <calculatedColumnFormula>SUM(H3*I3)</calculatedColumnFormula>
    </tableColumn>
    <tableColumn id="10" xr3:uid="{EF0AFBC7-173A-457A-8A8A-F20A6A53A542}" name="Employee Entitlement-2023 Rate" totalsRowFunction="average" dataDxfId="28" totalsRowDxfId="29" dataCellStyle="Percent"/>
    <tableColumn id="11" xr3:uid="{50F76CFB-85BA-4988-BDAC-1DEA69DB6396}" name="Employee Entitlement Amount-2023 Rate" totalsRowFunction="sum" dataDxfId="26" totalsRowDxfId="27">
      <calculatedColumnFormula>H3*K3</calculatedColumnFormula>
    </tableColumn>
    <tableColumn id="12" xr3:uid="{491CE47B-856C-4D09-8476-7B154B433520}" name="Yearly Raise Per Employee-2023 Rate" totalsRowFunction="sum" dataDxfId="24" totalsRowDxfId="25">
      <calculatedColumnFormula>L3/E3</calculatedColumnFormula>
    </tableColumn>
    <tableColumn id="13" xr3:uid="{443ED6FE-5714-49F9-B33F-479182F8294A}" name="Corporate Tax Rate-1942 Rate" totalsRowFunction="average" dataDxfId="22" totalsRowDxfId="23" dataCellStyle="Percent"/>
    <tableColumn id="14" xr3:uid="{58DA4581-92A7-4C45-91B5-E8989D2CA60B}" name="Corporate Tax-1942 Rate" totalsRowFunction="sum" dataDxfId="20" totalsRowDxfId="21">
      <calculatedColumnFormula>D3*N3</calculatedColumnFormula>
    </tableColumn>
    <tableColumn id="15" xr3:uid="{DD835290-8071-45DD-BC04-088D119CEB35}" name="Post Tax Balance-1942 Rate" totalsRowFunction="sum" dataDxfId="18" totalsRowDxfId="19">
      <calculatedColumnFormula>D3-O3</calculatedColumnFormula>
    </tableColumn>
    <tableColumn id="16" xr3:uid="{EFB0BD58-F22E-42FA-B53D-D4ADD4887517}" name="Corporate Entitlement-1942 Rate" totalsRowFunction="average" dataDxfId="16" totalsRowDxfId="17" dataCellStyle="Percent"/>
    <tableColumn id="17" xr3:uid="{8CB837FA-4335-427F-98D0-2C38362FA489}" name="Corporate Entitlement Amount-1942 Rate" totalsRowFunction="sum" dataDxfId="14" totalsRowDxfId="15">
      <calculatedColumnFormula>SUM(P3*Q3)</calculatedColumnFormula>
    </tableColumn>
    <tableColumn id="18" xr3:uid="{AFEF0693-D600-4F50-8DD8-E2A1B6BF0FB1}" name="Employee Entitlement-1942 Rate" totalsRowFunction="sum" dataDxfId="12" totalsRowDxfId="13" dataCellStyle="Percent"/>
    <tableColumn id="19" xr3:uid="{1C4139C6-A252-4942-9EEE-D8A45165D1AD}" name="Employee Entitlement Amount-1942 Rate" totalsRowFunction="sum" dataDxfId="10" totalsRowDxfId="11">
      <calculatedColumnFormula>P3*S3</calculatedColumnFormula>
    </tableColumn>
    <tableColumn id="20" xr3:uid="{E6865DDF-38A9-4B0F-9370-00EE1F75D49E}" name="Yearly Raise Per Employee-1942 Rate" totalsRowFunction="sum" dataDxfId="8" totalsRowDxfId="9">
      <calculatedColumnFormula>T3/E3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68A690-478E-43C4-BB17-E228FB1A0734}" name="Table14" displayName="Table14" ref="B36:G46" totalsRowShown="0" headerRowDxfId="7" dataDxfId="6">
  <autoFilter ref="B36:G46" xr:uid="{6F68A690-478E-43C4-BB17-E228FB1A0734}"/>
  <tableColumns count="6">
    <tableColumn id="1" xr3:uid="{0A6DF24E-A321-42AC-A3C5-11CC7113E209}" name="Health &amp; Education Plans" dataDxfId="5"/>
    <tableColumn id="2" xr3:uid="{55C09F10-6887-495D-8354-28BC684A2F76}" name="Health &amp; Education Costs" dataDxfId="4"/>
    <tableColumn id="3" xr3:uid="{4F218CCF-D0D0-44BC-A12E-FDC30473844C}" name="Top 30 Corporate Tax-2023 Rate" dataDxfId="3">
      <calculatedColumnFormula>SUM(Table13[[#Totals],[Corporate Tax-2023 Rate]])</calculatedColumnFormula>
    </tableColumn>
    <tableColumn id="4" xr3:uid="{ECB1F2C7-7E72-4791-A01A-2B31A1AE98B0}" name="Balance-2023 Rate" dataDxfId="2">
      <calculatedColumnFormula>C37-D37</calculatedColumnFormula>
    </tableColumn>
    <tableColumn id="5" xr3:uid="{8726E406-6B80-44EC-A8BA-D7D89355D9D3}" name="Top 30 Corporate Tax-1942 Rate" dataDxfId="1">
      <calculatedColumnFormula>SUM(Table13[[#Totals],[Corporate Tax-1942 Rate]])</calculatedColumnFormula>
    </tableColumn>
    <tableColumn id="6" xr3:uid="{C415A42A-E5B1-4587-A962-4E990AFCBBFC}" name="Balance-1942 Rate" dataDxfId="0">
      <calculatedColumnFormula>C37-F37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99907-49AE-40CD-998F-D04C0216BD92}">
  <dimension ref="B2:U100"/>
  <sheetViews>
    <sheetView tabSelected="1" zoomScale="80" zoomScaleNormal="80" workbookViewId="0">
      <selection activeCell="F10" sqref="F10"/>
    </sheetView>
  </sheetViews>
  <sheetFormatPr defaultColWidth="5.19921875" defaultRowHeight="13.8" x14ac:dyDescent="0.3"/>
  <cols>
    <col min="1" max="1" width="2.69921875" style="1" bestFit="1" customWidth="1"/>
    <col min="2" max="2" width="39" style="1" bestFit="1" customWidth="1"/>
    <col min="3" max="3" width="24.09765625" style="1" bestFit="1" customWidth="1"/>
    <col min="4" max="4" width="28.69921875" style="1" bestFit="1" customWidth="1"/>
    <col min="5" max="5" width="19.59765625" style="1" bestFit="1" customWidth="1"/>
    <col min="6" max="6" width="28.69921875" style="1" bestFit="1" customWidth="1"/>
    <col min="7" max="7" width="19.8984375" style="1" bestFit="1" customWidth="1"/>
    <col min="8" max="8" width="18.69921875" style="1" bestFit="1" customWidth="1"/>
    <col min="9" max="12" width="21.5" style="1" bestFit="1" customWidth="1"/>
    <col min="13" max="13" width="20.69921875" style="1" bestFit="1" customWidth="1"/>
    <col min="14" max="14" width="20" style="1" bestFit="1" customWidth="1"/>
    <col min="15" max="15" width="19.8984375" style="1" bestFit="1" customWidth="1"/>
    <col min="16" max="16" width="18.69921875" style="1" bestFit="1" customWidth="1"/>
    <col min="17" max="20" width="21.5" style="1" bestFit="1" customWidth="1"/>
    <col min="21" max="21" width="20.69921875" style="1" bestFit="1" customWidth="1"/>
    <col min="22" max="16384" width="5.19921875" style="1"/>
  </cols>
  <sheetData>
    <row r="2" spans="2:21" ht="30" customHeight="1" x14ac:dyDescent="0.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</row>
    <row r="3" spans="2:21" ht="15" customHeight="1" x14ac:dyDescent="0.3">
      <c r="B3" s="1" t="s">
        <v>20</v>
      </c>
      <c r="C3" s="3">
        <v>648125000000</v>
      </c>
      <c r="D3" s="3">
        <v>157983000000</v>
      </c>
      <c r="E3" s="4">
        <v>2100000</v>
      </c>
      <c r="F3" s="5">
        <v>0.21</v>
      </c>
      <c r="G3" s="6">
        <f>D3*F3</f>
        <v>33176430000</v>
      </c>
      <c r="H3" s="6">
        <f>D3-G3</f>
        <v>124806570000</v>
      </c>
      <c r="I3" s="5">
        <v>0.8</v>
      </c>
      <c r="J3" s="6">
        <f>SUM(H3*I3)</f>
        <v>99845256000</v>
      </c>
      <c r="K3" s="5">
        <v>0.2</v>
      </c>
      <c r="L3" s="6">
        <f>H3*K3</f>
        <v>24961314000</v>
      </c>
      <c r="M3" s="6">
        <f>L3/E3</f>
        <v>11886.34</v>
      </c>
      <c r="N3" s="5">
        <v>0.53</v>
      </c>
      <c r="O3" s="6">
        <f>D3*N3</f>
        <v>83730990000</v>
      </c>
      <c r="P3" s="6">
        <f>D3-O3</f>
        <v>74252010000</v>
      </c>
      <c r="Q3" s="5">
        <v>0.8</v>
      </c>
      <c r="R3" s="6">
        <f>SUM(P3*Q3)</f>
        <v>59401608000</v>
      </c>
      <c r="S3" s="5">
        <v>0.2</v>
      </c>
      <c r="T3" s="6">
        <f>P3*S3</f>
        <v>14850402000</v>
      </c>
      <c r="U3" s="6">
        <f>T3/E3</f>
        <v>7071.62</v>
      </c>
    </row>
    <row r="4" spans="2:21" ht="15" customHeight="1" x14ac:dyDescent="0.3">
      <c r="B4" s="1" t="s">
        <v>21</v>
      </c>
      <c r="C4" s="3">
        <v>574785000000</v>
      </c>
      <c r="D4" s="3">
        <v>270046000000</v>
      </c>
      <c r="E4" s="4">
        <v>1525000</v>
      </c>
      <c r="F4" s="5">
        <v>0.21</v>
      </c>
      <c r="G4" s="6">
        <f>D4*F4</f>
        <v>56709660000</v>
      </c>
      <c r="H4" s="6">
        <f>D4-G4</f>
        <v>213336340000</v>
      </c>
      <c r="I4" s="5">
        <v>0.8</v>
      </c>
      <c r="J4" s="6">
        <f>SUM(H4*I4)</f>
        <v>170669072000</v>
      </c>
      <c r="K4" s="5">
        <v>0.2</v>
      </c>
      <c r="L4" s="6">
        <f>H4*K4</f>
        <v>42667268000</v>
      </c>
      <c r="M4" s="6">
        <f>L4/E4</f>
        <v>27978.536393442624</v>
      </c>
      <c r="N4" s="5">
        <v>0.53</v>
      </c>
      <c r="O4" s="6">
        <f>D4*N4</f>
        <v>143124380000</v>
      </c>
      <c r="P4" s="6">
        <f>D4-O4</f>
        <v>126921620000</v>
      </c>
      <c r="Q4" s="5">
        <v>0.8</v>
      </c>
      <c r="R4" s="6">
        <f>SUM(P4*Q4)</f>
        <v>101537296000</v>
      </c>
      <c r="S4" s="5">
        <v>0.2</v>
      </c>
      <c r="T4" s="6">
        <f>P4*S4</f>
        <v>25384324000</v>
      </c>
      <c r="U4" s="6">
        <f>T4/E4</f>
        <v>16645.458360655739</v>
      </c>
    </row>
    <row r="5" spans="2:21" ht="15" customHeight="1" x14ac:dyDescent="0.3">
      <c r="B5" s="1" t="s">
        <v>22</v>
      </c>
      <c r="C5" s="3">
        <v>383285000000</v>
      </c>
      <c r="D5" s="3">
        <v>169148000000</v>
      </c>
      <c r="E5" s="4">
        <v>161000</v>
      </c>
      <c r="F5" s="5">
        <v>0.21</v>
      </c>
      <c r="G5" s="6">
        <f>D5*F5</f>
        <v>35521080000</v>
      </c>
      <c r="H5" s="6">
        <f>D5-G5</f>
        <v>133626920000</v>
      </c>
      <c r="I5" s="5">
        <v>0.8</v>
      </c>
      <c r="J5" s="6">
        <f>SUM(H5*I5)</f>
        <v>106901536000</v>
      </c>
      <c r="K5" s="5">
        <v>0.2</v>
      </c>
      <c r="L5" s="6">
        <f>H5*K5</f>
        <v>26725384000</v>
      </c>
      <c r="M5" s="6">
        <f>L5/E5</f>
        <v>165996.17391304349</v>
      </c>
      <c r="N5" s="5">
        <v>0.53</v>
      </c>
      <c r="O5" s="6">
        <f>D5*N5</f>
        <v>89648440000</v>
      </c>
      <c r="P5" s="6">
        <f>D5-O5</f>
        <v>79499560000</v>
      </c>
      <c r="Q5" s="5">
        <v>0.8</v>
      </c>
      <c r="R5" s="6">
        <f>SUM(P5*Q5)</f>
        <v>63599648000</v>
      </c>
      <c r="S5" s="5">
        <v>0.2</v>
      </c>
      <c r="T5" s="6">
        <f>P5*S5</f>
        <v>15899912000</v>
      </c>
      <c r="U5" s="6">
        <f>T5/E5</f>
        <v>98757.217391304352</v>
      </c>
    </row>
    <row r="6" spans="2:21" ht="15" customHeight="1" x14ac:dyDescent="0.3">
      <c r="B6" s="1" t="s">
        <v>23</v>
      </c>
      <c r="C6" s="3">
        <v>371622000000</v>
      </c>
      <c r="D6" s="3">
        <v>90958000000</v>
      </c>
      <c r="E6" s="4">
        <v>440000</v>
      </c>
      <c r="F6" s="5">
        <v>0.21</v>
      </c>
      <c r="G6" s="6">
        <f>D6*F6</f>
        <v>19101180000</v>
      </c>
      <c r="H6" s="6">
        <f>D6-G6</f>
        <v>71856820000</v>
      </c>
      <c r="I6" s="5">
        <v>0.8</v>
      </c>
      <c r="J6" s="6">
        <f>SUM(H6*I6)</f>
        <v>57485456000</v>
      </c>
      <c r="K6" s="5">
        <v>0.2</v>
      </c>
      <c r="L6" s="6">
        <f>H6*K6</f>
        <v>14371364000</v>
      </c>
      <c r="M6" s="6">
        <f>L6/E6</f>
        <v>32662.19090909091</v>
      </c>
      <c r="N6" s="5">
        <v>0.53</v>
      </c>
      <c r="O6" s="6">
        <f>D6*N6</f>
        <v>48207740000</v>
      </c>
      <c r="P6" s="6">
        <f>D6-O6</f>
        <v>42750260000</v>
      </c>
      <c r="Q6" s="5">
        <v>0.8</v>
      </c>
      <c r="R6" s="6">
        <f>SUM(P6*Q6)</f>
        <v>34200208000</v>
      </c>
      <c r="S6" s="5">
        <v>0.2</v>
      </c>
      <c r="T6" s="6">
        <f>P6*S6</f>
        <v>8550052000</v>
      </c>
      <c r="U6" s="6">
        <f>T6/E6</f>
        <v>19431.936363636363</v>
      </c>
    </row>
    <row r="7" spans="2:21" ht="15" customHeight="1" x14ac:dyDescent="0.3">
      <c r="B7" s="1" t="s">
        <v>24</v>
      </c>
      <c r="C7" s="3">
        <v>364482000000</v>
      </c>
      <c r="D7" s="3">
        <v>287996000000</v>
      </c>
      <c r="E7" s="4">
        <v>396500</v>
      </c>
      <c r="F7" s="5">
        <v>0.21</v>
      </c>
      <c r="G7" s="6">
        <f>D7*F7</f>
        <v>60479160000</v>
      </c>
      <c r="H7" s="6">
        <f>D7-G7</f>
        <v>227516840000</v>
      </c>
      <c r="I7" s="5">
        <v>0.8</v>
      </c>
      <c r="J7" s="6">
        <f>SUM(H7*I7)</f>
        <v>182013472000</v>
      </c>
      <c r="K7" s="5">
        <v>0.2</v>
      </c>
      <c r="L7" s="6">
        <f>H7*K7</f>
        <v>45503368000</v>
      </c>
      <c r="M7" s="6">
        <f>L7/E7</f>
        <v>114762.59268600252</v>
      </c>
      <c r="N7" s="5">
        <v>0.53</v>
      </c>
      <c r="O7" s="6">
        <f>D7*N7</f>
        <v>152637880000</v>
      </c>
      <c r="P7" s="6">
        <f>D7-O7</f>
        <v>135358120000</v>
      </c>
      <c r="Q7" s="5">
        <v>0.8</v>
      </c>
      <c r="R7" s="6">
        <f>SUM(P7*Q7)</f>
        <v>108286496000</v>
      </c>
      <c r="S7" s="5">
        <v>0.2</v>
      </c>
      <c r="T7" s="6">
        <f>P7*S7</f>
        <v>27071624000</v>
      </c>
      <c r="U7" s="6">
        <f>T7/E7</f>
        <v>68276.479192938205</v>
      </c>
    </row>
    <row r="8" spans="2:21" ht="15" customHeight="1" x14ac:dyDescent="0.3">
      <c r="B8" s="1" t="s">
        <v>25</v>
      </c>
      <c r="C8" s="3">
        <v>357776000000</v>
      </c>
      <c r="D8" s="3">
        <v>140678000000</v>
      </c>
      <c r="E8" s="4">
        <v>300000</v>
      </c>
      <c r="F8" s="5">
        <v>0.21</v>
      </c>
      <c r="G8" s="6">
        <f>D8*F8</f>
        <v>29542380000</v>
      </c>
      <c r="H8" s="6">
        <f>D8-G8</f>
        <v>111135620000</v>
      </c>
      <c r="I8" s="5">
        <v>0.8</v>
      </c>
      <c r="J8" s="6">
        <f>SUM(H8*I8)</f>
        <v>88908496000</v>
      </c>
      <c r="K8" s="5">
        <v>0.2</v>
      </c>
      <c r="L8" s="6">
        <f>H8*K8</f>
        <v>22227124000</v>
      </c>
      <c r="M8" s="6">
        <f>L8/E8</f>
        <v>74090.41333333333</v>
      </c>
      <c r="N8" s="5">
        <v>0.53</v>
      </c>
      <c r="O8" s="6">
        <f>D8*N8</f>
        <v>74559340000</v>
      </c>
      <c r="P8" s="6">
        <f>D8-O8</f>
        <v>66118660000</v>
      </c>
      <c r="Q8" s="5">
        <v>0.8</v>
      </c>
      <c r="R8" s="6">
        <f>SUM(P8*Q8)</f>
        <v>52894928000</v>
      </c>
      <c r="S8" s="5">
        <v>0.2</v>
      </c>
      <c r="T8" s="6">
        <f>P8*S8</f>
        <v>13223732000</v>
      </c>
      <c r="U8" s="6">
        <f>T8/E8</f>
        <v>44079.106666666667</v>
      </c>
    </row>
    <row r="9" spans="2:21" ht="15" customHeight="1" x14ac:dyDescent="0.3">
      <c r="B9" s="1" t="s">
        <v>26</v>
      </c>
      <c r="C9" s="3">
        <v>344582000000</v>
      </c>
      <c r="D9" s="3">
        <v>85657000000</v>
      </c>
      <c r="E9" s="4">
        <v>62000</v>
      </c>
      <c r="F9" s="5">
        <v>0.21</v>
      </c>
      <c r="G9" s="6">
        <f>D9*F9</f>
        <v>17987970000</v>
      </c>
      <c r="H9" s="6">
        <f>D9-G9</f>
        <v>67669030000</v>
      </c>
      <c r="I9" s="5">
        <v>0.8</v>
      </c>
      <c r="J9" s="6">
        <f>SUM(H9*I9)</f>
        <v>54135224000</v>
      </c>
      <c r="K9" s="5">
        <v>0.2</v>
      </c>
      <c r="L9" s="6">
        <f>H9*K9</f>
        <v>13533806000</v>
      </c>
      <c r="M9" s="6">
        <f>L9/E9</f>
        <v>218287.19354838709</v>
      </c>
      <c r="N9" s="5">
        <v>0.53</v>
      </c>
      <c r="O9" s="6">
        <f>D9*N9</f>
        <v>45398210000</v>
      </c>
      <c r="P9" s="6">
        <f>D9-O9</f>
        <v>40258790000</v>
      </c>
      <c r="Q9" s="5">
        <v>0.8</v>
      </c>
      <c r="R9" s="6">
        <f>SUM(P9*Q9)</f>
        <v>32207032000</v>
      </c>
      <c r="S9" s="5">
        <v>0.2</v>
      </c>
      <c r="T9" s="6">
        <f>P9*S9</f>
        <v>8051758000</v>
      </c>
      <c r="U9" s="6">
        <f>T9/E9</f>
        <v>129867.06451612903</v>
      </c>
    </row>
    <row r="10" spans="2:21" ht="15" customHeight="1" x14ac:dyDescent="0.3">
      <c r="B10" s="1" t="s">
        <v>27</v>
      </c>
      <c r="C10" s="3">
        <v>307394000000</v>
      </c>
      <c r="D10" s="3">
        <v>174062000000</v>
      </c>
      <c r="E10" s="4">
        <v>182502</v>
      </c>
      <c r="F10" s="5">
        <v>0.21</v>
      </c>
      <c r="G10" s="6">
        <f>D10*F10</f>
        <v>36553020000</v>
      </c>
      <c r="H10" s="6">
        <f>D10-G10</f>
        <v>137508980000</v>
      </c>
      <c r="I10" s="5">
        <v>0.8</v>
      </c>
      <c r="J10" s="6">
        <f>SUM(H10*I10)</f>
        <v>110007184000</v>
      </c>
      <c r="K10" s="5">
        <v>0.2</v>
      </c>
      <c r="L10" s="6">
        <f>H10*K10</f>
        <v>27501796000</v>
      </c>
      <c r="M10" s="6">
        <f>L10/E10</f>
        <v>150693.12117127483</v>
      </c>
      <c r="N10" s="5">
        <v>0.53</v>
      </c>
      <c r="O10" s="6">
        <f>D10*N10</f>
        <v>92252860000</v>
      </c>
      <c r="P10" s="6">
        <f>D10-O10</f>
        <v>81809140000</v>
      </c>
      <c r="Q10" s="5">
        <v>0.8</v>
      </c>
      <c r="R10" s="6">
        <f>SUM(P10*Q10)</f>
        <v>65447312000</v>
      </c>
      <c r="S10" s="5">
        <v>0.2</v>
      </c>
      <c r="T10" s="6">
        <f>P10*S10</f>
        <v>16361828000</v>
      </c>
      <c r="U10" s="6">
        <f>T10/E10</f>
        <v>89652.869557593891</v>
      </c>
    </row>
    <row r="11" spans="2:21" ht="15" customHeight="1" x14ac:dyDescent="0.3">
      <c r="B11" s="1" t="s">
        <v>28</v>
      </c>
      <c r="C11" s="3">
        <v>276711000000</v>
      </c>
      <c r="D11" s="3">
        <v>12358000000</v>
      </c>
      <c r="E11" s="4">
        <v>51000</v>
      </c>
      <c r="F11" s="5">
        <v>0.21</v>
      </c>
      <c r="G11" s="6">
        <f>D11*F11</f>
        <v>2595180000</v>
      </c>
      <c r="H11" s="6">
        <f>D11-G11</f>
        <v>9762820000</v>
      </c>
      <c r="I11" s="5">
        <v>0.8</v>
      </c>
      <c r="J11" s="6">
        <f>SUM(H11*I11)</f>
        <v>7810256000</v>
      </c>
      <c r="K11" s="5">
        <v>0.2</v>
      </c>
      <c r="L11" s="6">
        <f>H11*K11</f>
        <v>1952564000</v>
      </c>
      <c r="M11" s="6">
        <f>L11/E11</f>
        <v>38285.568627450979</v>
      </c>
      <c r="N11" s="5">
        <v>0.53</v>
      </c>
      <c r="O11" s="6">
        <f>D11*N11</f>
        <v>6549740000</v>
      </c>
      <c r="P11" s="6">
        <f>D11-O11</f>
        <v>5808260000</v>
      </c>
      <c r="Q11" s="5">
        <v>0.8</v>
      </c>
      <c r="R11" s="6">
        <f>SUM(P11*Q11)</f>
        <v>4646608000</v>
      </c>
      <c r="S11" s="5">
        <v>0.2</v>
      </c>
      <c r="T11" s="6">
        <f>P11*S11</f>
        <v>1161652000</v>
      </c>
      <c r="U11" s="6">
        <f>T11/E11</f>
        <v>22777.49019607843</v>
      </c>
    </row>
    <row r="12" spans="2:21" ht="15" customHeight="1" x14ac:dyDescent="0.3">
      <c r="B12" s="1" t="s">
        <v>29</v>
      </c>
      <c r="C12" s="3">
        <v>262173000000</v>
      </c>
      <c r="D12" s="3">
        <v>8959000000</v>
      </c>
      <c r="E12" s="4">
        <v>46000</v>
      </c>
      <c r="F12" s="5">
        <v>0.21</v>
      </c>
      <c r="G12" s="6">
        <f>D12*F12</f>
        <v>1881390000</v>
      </c>
      <c r="H12" s="6">
        <f>D12-G12</f>
        <v>7077610000</v>
      </c>
      <c r="I12" s="5">
        <v>0.8</v>
      </c>
      <c r="J12" s="6">
        <f>SUM(H12*I12)</f>
        <v>5662088000</v>
      </c>
      <c r="K12" s="5">
        <v>0.2</v>
      </c>
      <c r="L12" s="6">
        <f>H12*K12</f>
        <v>1415522000</v>
      </c>
      <c r="M12" s="6">
        <f>L12/E12</f>
        <v>30772.217391304348</v>
      </c>
      <c r="N12" s="5">
        <v>0.53</v>
      </c>
      <c r="O12" s="6">
        <f>D12*N12</f>
        <v>4748270000</v>
      </c>
      <c r="P12" s="6">
        <f>D12-O12</f>
        <v>4210730000</v>
      </c>
      <c r="Q12" s="5">
        <v>0.8</v>
      </c>
      <c r="R12" s="6">
        <f>SUM(P12*Q12)</f>
        <v>3368584000</v>
      </c>
      <c r="S12" s="5">
        <v>0.2</v>
      </c>
      <c r="T12" s="6">
        <f>P12*S12</f>
        <v>842146000</v>
      </c>
      <c r="U12" s="6">
        <f>T12/E12</f>
        <v>18307.521739130436</v>
      </c>
    </row>
    <row r="13" spans="2:21" ht="15" customHeight="1" x14ac:dyDescent="0.3">
      <c r="B13" s="1" t="s">
        <v>30</v>
      </c>
      <c r="C13" s="3">
        <v>242290000000</v>
      </c>
      <c r="D13" s="3">
        <v>29704000000</v>
      </c>
      <c r="E13" s="4">
        <v>316000</v>
      </c>
      <c r="F13" s="5">
        <v>0.21</v>
      </c>
      <c r="G13" s="6">
        <f>D13*F13</f>
        <v>6237840000</v>
      </c>
      <c r="H13" s="6">
        <f>D13-G13</f>
        <v>23466160000</v>
      </c>
      <c r="I13" s="5">
        <v>0.8</v>
      </c>
      <c r="J13" s="6">
        <f>SUM(H13*I13)</f>
        <v>18772928000</v>
      </c>
      <c r="K13" s="5">
        <v>0.2</v>
      </c>
      <c r="L13" s="6">
        <f>H13*K13</f>
        <v>4693232000</v>
      </c>
      <c r="M13" s="6">
        <f>L13/E13</f>
        <v>14852</v>
      </c>
      <c r="N13" s="5">
        <v>0.53</v>
      </c>
      <c r="O13" s="6">
        <f>D13*N13</f>
        <v>15743120000</v>
      </c>
      <c r="P13" s="6">
        <f>D13-O13</f>
        <v>13960880000</v>
      </c>
      <c r="Q13" s="5">
        <v>0.8</v>
      </c>
      <c r="R13" s="6">
        <f>SUM(P13*Q13)</f>
        <v>11168704000</v>
      </c>
      <c r="S13" s="5">
        <v>0.2</v>
      </c>
      <c r="T13" s="6">
        <f>P13*S13</f>
        <v>2792176000</v>
      </c>
      <c r="U13" s="6">
        <f>T13/E13</f>
        <v>8836</v>
      </c>
    </row>
    <row r="14" spans="2:21" ht="15" customHeight="1" x14ac:dyDescent="0.3">
      <c r="B14" s="1" t="s">
        <v>31</v>
      </c>
      <c r="C14" s="3">
        <v>239425000000</v>
      </c>
      <c r="D14" s="3">
        <v>158104000000</v>
      </c>
      <c r="E14" s="4">
        <v>309926</v>
      </c>
      <c r="F14" s="5">
        <v>0.21</v>
      </c>
      <c r="G14" s="6">
        <f>D14*F14</f>
        <v>33201840000</v>
      </c>
      <c r="H14" s="6">
        <f>D14-G14</f>
        <v>124902160000</v>
      </c>
      <c r="I14" s="5">
        <v>0.8</v>
      </c>
      <c r="J14" s="6">
        <f>SUM(H14*I14)</f>
        <v>99921728000</v>
      </c>
      <c r="K14" s="5">
        <v>0.2</v>
      </c>
      <c r="L14" s="6">
        <f>H14*K14</f>
        <v>24980432000</v>
      </c>
      <c r="M14" s="6">
        <f>L14/E14</f>
        <v>80601.27901499068</v>
      </c>
      <c r="N14" s="5">
        <v>0.53</v>
      </c>
      <c r="O14" s="6">
        <f>D14*N14</f>
        <v>83795120000</v>
      </c>
      <c r="P14" s="6">
        <f>D14-O14</f>
        <v>74308880000</v>
      </c>
      <c r="Q14" s="5">
        <v>0.8</v>
      </c>
      <c r="R14" s="6">
        <f>SUM(P14*Q14)</f>
        <v>59447104000</v>
      </c>
      <c r="S14" s="5">
        <v>0.2</v>
      </c>
      <c r="T14" s="6">
        <f>P14*S14</f>
        <v>14861776000</v>
      </c>
      <c r="U14" s="6">
        <f>T14/E14</f>
        <v>47952.659667146349</v>
      </c>
    </row>
    <row r="15" spans="2:21" ht="15" customHeight="1" x14ac:dyDescent="0.3">
      <c r="B15" s="1" t="s">
        <v>32</v>
      </c>
      <c r="C15" s="3">
        <v>211915000000</v>
      </c>
      <c r="D15" s="3">
        <v>146052000000</v>
      </c>
      <c r="E15" s="4">
        <v>221000</v>
      </c>
      <c r="F15" s="5">
        <v>0.21</v>
      </c>
      <c r="G15" s="6">
        <f>D15*F15</f>
        <v>30670920000</v>
      </c>
      <c r="H15" s="6">
        <f>D15-G15</f>
        <v>115381080000</v>
      </c>
      <c r="I15" s="5">
        <v>0.8</v>
      </c>
      <c r="J15" s="6">
        <f>SUM(H15*I15)</f>
        <v>92304864000</v>
      </c>
      <c r="K15" s="5">
        <v>0.2</v>
      </c>
      <c r="L15" s="6">
        <f>H15*K15</f>
        <v>23076216000</v>
      </c>
      <c r="M15" s="6">
        <f>L15/E15</f>
        <v>104417.2669683258</v>
      </c>
      <c r="N15" s="5">
        <v>0.53</v>
      </c>
      <c r="O15" s="6">
        <f>D15*N15</f>
        <v>77407560000</v>
      </c>
      <c r="P15" s="6">
        <f>D15-O15</f>
        <v>68644440000</v>
      </c>
      <c r="Q15" s="5">
        <v>0.8</v>
      </c>
      <c r="R15" s="6">
        <f>SUM(P15*Q15)</f>
        <v>54915552000</v>
      </c>
      <c r="S15" s="5">
        <v>0.2</v>
      </c>
      <c r="T15" s="6">
        <f>P15*S15</f>
        <v>13728888000</v>
      </c>
      <c r="U15" s="6">
        <f>T15/E15</f>
        <v>62121.665158371041</v>
      </c>
    </row>
    <row r="16" spans="2:21" ht="15" customHeight="1" x14ac:dyDescent="0.3">
      <c r="B16" s="1" t="s">
        <v>33</v>
      </c>
      <c r="C16" s="3">
        <v>205012000000</v>
      </c>
      <c r="D16" s="3">
        <v>6889000000</v>
      </c>
      <c r="E16" s="4">
        <v>48000</v>
      </c>
      <c r="F16" s="5">
        <v>0.21</v>
      </c>
      <c r="G16" s="6">
        <f>D16*F16</f>
        <v>1446690000</v>
      </c>
      <c r="H16" s="6">
        <f>D16-G16</f>
        <v>5442310000</v>
      </c>
      <c r="I16" s="5">
        <v>0.8</v>
      </c>
      <c r="J16" s="6">
        <f>SUM(H16*I16)</f>
        <v>4353848000</v>
      </c>
      <c r="K16" s="5">
        <v>0.2</v>
      </c>
      <c r="L16" s="6">
        <f>H16*K16</f>
        <v>1088462000</v>
      </c>
      <c r="M16" s="6">
        <f>L16/E16</f>
        <v>22676.291666666668</v>
      </c>
      <c r="N16" s="5">
        <v>0.53</v>
      </c>
      <c r="O16" s="6">
        <f>D16*N16</f>
        <v>3651170000</v>
      </c>
      <c r="P16" s="6">
        <f>D16-O16</f>
        <v>3237830000</v>
      </c>
      <c r="Q16" s="5">
        <v>0.8</v>
      </c>
      <c r="R16" s="6">
        <f>SUM(P16*Q16)</f>
        <v>2590264000</v>
      </c>
      <c r="S16" s="5">
        <v>0.2</v>
      </c>
      <c r="T16" s="6">
        <f>P16*S16</f>
        <v>647566000</v>
      </c>
      <c r="U16" s="6">
        <f>T16/E16</f>
        <v>13490.958333333334</v>
      </c>
    </row>
    <row r="17" spans="2:21" ht="15" customHeight="1" x14ac:dyDescent="0.3">
      <c r="B17" s="1" t="s">
        <v>34</v>
      </c>
      <c r="C17" s="3">
        <v>200949000000</v>
      </c>
      <c r="D17" s="3">
        <v>77533000000</v>
      </c>
      <c r="E17" s="4">
        <v>45600</v>
      </c>
      <c r="F17" s="5">
        <v>0.21</v>
      </c>
      <c r="G17" s="6">
        <f>D17*F17</f>
        <v>16281930000</v>
      </c>
      <c r="H17" s="6">
        <f>D17-G17</f>
        <v>61251070000</v>
      </c>
      <c r="I17" s="5">
        <v>0.8</v>
      </c>
      <c r="J17" s="6">
        <f>SUM(H17*I17)</f>
        <v>49000856000</v>
      </c>
      <c r="K17" s="5">
        <v>0.2</v>
      </c>
      <c r="L17" s="6">
        <f>H17*K17</f>
        <v>12250214000</v>
      </c>
      <c r="M17" s="6">
        <f>L17/E17</f>
        <v>268645.0438596491</v>
      </c>
      <c r="N17" s="5">
        <v>0.53</v>
      </c>
      <c r="O17" s="6">
        <f>D17*N17</f>
        <v>41092490000</v>
      </c>
      <c r="P17" s="6">
        <f>D17-O17</f>
        <v>36440510000</v>
      </c>
      <c r="Q17" s="5">
        <v>0.8</v>
      </c>
      <c r="R17" s="6">
        <f>SUM(P17*Q17)</f>
        <v>29152408000</v>
      </c>
      <c r="S17" s="5">
        <v>0.2</v>
      </c>
      <c r="T17" s="6">
        <f>P17*S17</f>
        <v>7288102000</v>
      </c>
      <c r="U17" s="6">
        <f>T17/E17</f>
        <v>159826.79824561405</v>
      </c>
    </row>
    <row r="18" spans="2:21" ht="15" customHeight="1" x14ac:dyDescent="0.3">
      <c r="B18" s="1" t="s">
        <v>35</v>
      </c>
      <c r="C18" s="3">
        <v>195265000000</v>
      </c>
      <c r="D18" s="3">
        <v>158978000000</v>
      </c>
      <c r="E18" s="4">
        <v>72500</v>
      </c>
      <c r="F18" s="5">
        <v>0.21</v>
      </c>
      <c r="G18" s="6">
        <f>D18*F18</f>
        <v>33385380000</v>
      </c>
      <c r="H18" s="6">
        <f>D18-G18</f>
        <v>125592620000</v>
      </c>
      <c r="I18" s="5">
        <v>0.8</v>
      </c>
      <c r="J18" s="6">
        <f>SUM(H18*I18)</f>
        <v>100474096000</v>
      </c>
      <c r="K18" s="5">
        <v>0.2</v>
      </c>
      <c r="L18" s="6">
        <f>H18*K18</f>
        <v>25118524000</v>
      </c>
      <c r="M18" s="6">
        <f>L18/E18</f>
        <v>346462.4</v>
      </c>
      <c r="N18" s="5">
        <v>0.53</v>
      </c>
      <c r="O18" s="6">
        <f>D18*N18</f>
        <v>84258340000</v>
      </c>
      <c r="P18" s="6">
        <f>D18-O18</f>
        <v>74719660000</v>
      </c>
      <c r="Q18" s="5">
        <v>0.8</v>
      </c>
      <c r="R18" s="6">
        <f>SUM(P18*Q18)</f>
        <v>59775728000</v>
      </c>
      <c r="S18" s="5">
        <v>0.2</v>
      </c>
      <c r="T18" s="6">
        <f>P18*S18</f>
        <v>14943932000</v>
      </c>
      <c r="U18" s="6">
        <f>T18/E18</f>
        <v>206123.2</v>
      </c>
    </row>
    <row r="19" spans="2:21" ht="15" customHeight="1" x14ac:dyDescent="0.3">
      <c r="B19" s="1" t="s">
        <v>36</v>
      </c>
      <c r="C19" s="3">
        <v>176191000000</v>
      </c>
      <c r="D19" s="3">
        <v>25641000000</v>
      </c>
      <c r="E19" s="4">
        <v>177000</v>
      </c>
      <c r="F19" s="5">
        <v>0.21</v>
      </c>
      <c r="G19" s="6">
        <f>D19*F19</f>
        <v>5384610000</v>
      </c>
      <c r="H19" s="6">
        <f>D19-G19</f>
        <v>20256390000</v>
      </c>
      <c r="I19" s="5">
        <v>0.8</v>
      </c>
      <c r="J19" s="6">
        <f>SUM(H19*I19)</f>
        <v>16205112000</v>
      </c>
      <c r="K19" s="5">
        <v>0.2</v>
      </c>
      <c r="L19" s="6">
        <f>H19*K19</f>
        <v>4051278000</v>
      </c>
      <c r="M19" s="6">
        <f>L19/E19</f>
        <v>22888.576271186441</v>
      </c>
      <c r="N19" s="5">
        <v>0.53</v>
      </c>
      <c r="O19" s="6">
        <f>D19*N19</f>
        <v>13589730000</v>
      </c>
      <c r="P19" s="6">
        <f>D19-O19</f>
        <v>12051270000</v>
      </c>
      <c r="Q19" s="5">
        <v>0.8</v>
      </c>
      <c r="R19" s="6">
        <f>SUM(P19*Q19)</f>
        <v>9641016000</v>
      </c>
      <c r="S19" s="5">
        <v>0.2</v>
      </c>
      <c r="T19" s="6">
        <f>P19*S19</f>
        <v>2410254000</v>
      </c>
      <c r="U19" s="6">
        <f>T19/E19</f>
        <v>13617.254237288136</v>
      </c>
    </row>
    <row r="20" spans="2:21" ht="15" customHeight="1" x14ac:dyDescent="0.3">
      <c r="B20" s="1" t="s">
        <v>37</v>
      </c>
      <c r="C20" s="3">
        <v>171824000000</v>
      </c>
      <c r="D20" s="3">
        <v>19138000000</v>
      </c>
      <c r="E20" s="4">
        <v>163000</v>
      </c>
      <c r="F20" s="5">
        <v>0.21</v>
      </c>
      <c r="G20" s="6">
        <f>D20*F20</f>
        <v>4018980000</v>
      </c>
      <c r="H20" s="6">
        <f>D20-G20</f>
        <v>15119020000</v>
      </c>
      <c r="I20" s="5">
        <v>0.8</v>
      </c>
      <c r="J20" s="6">
        <f>SUM(H20*I20)</f>
        <v>12095216000</v>
      </c>
      <c r="K20" s="5">
        <v>0.2</v>
      </c>
      <c r="L20" s="6">
        <f>H20*K20</f>
        <v>3023804000</v>
      </c>
      <c r="M20" s="6">
        <f>L20/E20</f>
        <v>18550.944785276075</v>
      </c>
      <c r="N20" s="5">
        <v>0.53</v>
      </c>
      <c r="O20" s="6">
        <f>D20*N20</f>
        <v>10143140000</v>
      </c>
      <c r="P20" s="6">
        <f>D20-O20</f>
        <v>8994860000</v>
      </c>
      <c r="Q20" s="5">
        <v>0.8</v>
      </c>
      <c r="R20" s="6">
        <f>SUM(P20*Q20)</f>
        <v>7195888000</v>
      </c>
      <c r="S20" s="5">
        <v>0.2</v>
      </c>
      <c r="T20" s="6">
        <f>P20*S20</f>
        <v>1798972000</v>
      </c>
      <c r="U20" s="6">
        <f>T20/E20</f>
        <v>11036.638036809816</v>
      </c>
    </row>
    <row r="21" spans="2:21" ht="15" customHeight="1" x14ac:dyDescent="0.3">
      <c r="B21" s="1" t="s">
        <v>38</v>
      </c>
      <c r="C21" s="3">
        <v>171340000000</v>
      </c>
      <c r="D21" s="3">
        <v>29717000000</v>
      </c>
      <c r="E21" s="4">
        <v>104900</v>
      </c>
      <c r="F21" s="5">
        <v>0.21</v>
      </c>
      <c r="G21" s="6">
        <f>D21*F21</f>
        <v>6240570000</v>
      </c>
      <c r="H21" s="6">
        <f>D21-G21</f>
        <v>23476430000</v>
      </c>
      <c r="I21" s="5">
        <v>0.8</v>
      </c>
      <c r="J21" s="6">
        <f>SUM(H21*I21)</f>
        <v>18781144000</v>
      </c>
      <c r="K21" s="5">
        <v>0.2</v>
      </c>
      <c r="L21" s="6">
        <f>H21*K21</f>
        <v>4695286000</v>
      </c>
      <c r="M21" s="6">
        <f>L21/E21</f>
        <v>44759.637750238326</v>
      </c>
      <c r="N21" s="5">
        <v>0.53</v>
      </c>
      <c r="O21" s="6">
        <f>D21*N21</f>
        <v>15750010000</v>
      </c>
      <c r="P21" s="6">
        <f>D21-O21</f>
        <v>13966990000</v>
      </c>
      <c r="Q21" s="5">
        <v>0.8</v>
      </c>
      <c r="R21" s="6">
        <f>SUM(P21*Q21)</f>
        <v>11173592000</v>
      </c>
      <c r="S21" s="5">
        <v>0.2</v>
      </c>
      <c r="T21" s="6">
        <f>P21*S21</f>
        <v>2793398000</v>
      </c>
      <c r="U21" s="6">
        <f>T21/E21</f>
        <v>26629.151572926596</v>
      </c>
    </row>
    <row r="22" spans="2:21" ht="15" customHeight="1" x14ac:dyDescent="0.3">
      <c r="B22" s="1" t="s">
        <v>39</v>
      </c>
      <c r="C22" s="3">
        <v>153999000000</v>
      </c>
      <c r="D22" s="3">
        <v>17315000000</v>
      </c>
      <c r="E22" s="4">
        <v>67700</v>
      </c>
      <c r="F22" s="5">
        <v>0.21</v>
      </c>
      <c r="G22" s="6">
        <f>D22*F22</f>
        <v>3636150000</v>
      </c>
      <c r="H22" s="6">
        <f>D22-G22</f>
        <v>13678850000</v>
      </c>
      <c r="I22" s="5">
        <v>0.8</v>
      </c>
      <c r="J22" s="6">
        <f>SUM(H22*I22)</f>
        <v>10943080000</v>
      </c>
      <c r="K22" s="5">
        <v>0.2</v>
      </c>
      <c r="L22" s="6">
        <f>H22*K22</f>
        <v>2735770000</v>
      </c>
      <c r="M22" s="6">
        <f>L22/E22</f>
        <v>40410.192023633681</v>
      </c>
      <c r="N22" s="5">
        <v>0.53</v>
      </c>
      <c r="O22" s="6">
        <f>D22*N22</f>
        <v>9176950000</v>
      </c>
      <c r="P22" s="6">
        <f>D22-O22</f>
        <v>8138050000</v>
      </c>
      <c r="Q22" s="5">
        <v>0.8</v>
      </c>
      <c r="R22" s="6">
        <f>SUM(P22*Q22)</f>
        <v>6510440000</v>
      </c>
      <c r="S22" s="5">
        <v>0.2</v>
      </c>
      <c r="T22" s="6">
        <f>P22*S22</f>
        <v>1627610000</v>
      </c>
      <c r="U22" s="6">
        <f>T22/E22</f>
        <v>24041.506646971935</v>
      </c>
    </row>
    <row r="23" spans="2:21" ht="15" customHeight="1" x14ac:dyDescent="0.3">
      <c r="B23" s="1" t="s">
        <v>40</v>
      </c>
      <c r="C23" s="3">
        <v>152669000000</v>
      </c>
      <c r="D23" s="3">
        <v>50960000000</v>
      </c>
      <c r="E23" s="4">
        <v>509300</v>
      </c>
      <c r="F23" s="5">
        <v>0.21</v>
      </c>
      <c r="G23" s="6">
        <f>D23*F23</f>
        <v>10701600000</v>
      </c>
      <c r="H23" s="6">
        <f>D23-G23</f>
        <v>40258400000</v>
      </c>
      <c r="I23" s="5">
        <v>0.8</v>
      </c>
      <c r="J23" s="6">
        <f>SUM(H23*I23)</f>
        <v>32206720000</v>
      </c>
      <c r="K23" s="5">
        <v>0.2</v>
      </c>
      <c r="L23" s="6">
        <f>H23*K23</f>
        <v>8051680000</v>
      </c>
      <c r="M23" s="6">
        <f>L23/E23</f>
        <v>15809.306891812292</v>
      </c>
      <c r="N23" s="5">
        <v>0.53</v>
      </c>
      <c r="O23" s="6">
        <f>D23*N23</f>
        <v>27008800000</v>
      </c>
      <c r="P23" s="6">
        <f>D23-O23</f>
        <v>23951200000</v>
      </c>
      <c r="Q23" s="5">
        <v>0.8</v>
      </c>
      <c r="R23" s="6">
        <f>SUM(P23*Q23)</f>
        <v>19160960000</v>
      </c>
      <c r="S23" s="5">
        <v>0.2</v>
      </c>
      <c r="T23" s="6">
        <f>P23*S23</f>
        <v>4790240000</v>
      </c>
      <c r="U23" s="6">
        <f>T23/E23</f>
        <v>9405.5370115845271</v>
      </c>
    </row>
    <row r="24" spans="2:21" ht="15" customHeight="1" x14ac:dyDescent="0.3">
      <c r="B24" s="1" t="s">
        <v>41</v>
      </c>
      <c r="C24" s="3">
        <v>150039000000</v>
      </c>
      <c r="D24" s="3">
        <v>33364000000</v>
      </c>
      <c r="E24" s="4">
        <v>430000</v>
      </c>
      <c r="F24" s="5">
        <v>0.21</v>
      </c>
      <c r="G24" s="6">
        <f>D24*F24</f>
        <v>7006440000</v>
      </c>
      <c r="H24" s="6">
        <f>D24-G24</f>
        <v>26357560000</v>
      </c>
      <c r="I24" s="5">
        <v>0.8</v>
      </c>
      <c r="J24" s="6">
        <f>SUM(H24*I24)</f>
        <v>21086048000</v>
      </c>
      <c r="K24" s="5">
        <v>0.2</v>
      </c>
      <c r="L24" s="6">
        <f>H24*K24</f>
        <v>5271512000</v>
      </c>
      <c r="M24" s="6">
        <f>L24/E24</f>
        <v>12259.330232558139</v>
      </c>
      <c r="N24" s="5">
        <v>0.53</v>
      </c>
      <c r="O24" s="6">
        <f>D24*N24</f>
        <v>17682920000</v>
      </c>
      <c r="P24" s="6">
        <f>D24-O24</f>
        <v>15681080000</v>
      </c>
      <c r="Q24" s="5">
        <v>0.8</v>
      </c>
      <c r="R24" s="6">
        <f>SUM(P24*Q24)</f>
        <v>12544864000</v>
      </c>
      <c r="S24" s="5">
        <v>0.2</v>
      </c>
      <c r="T24" s="6">
        <f>P24*S24</f>
        <v>3136216000</v>
      </c>
      <c r="U24" s="6">
        <f>T24/E24</f>
        <v>7293.525581395349</v>
      </c>
    </row>
    <row r="25" spans="2:21" ht="15" customHeight="1" x14ac:dyDescent="0.3">
      <c r="B25" s="1" t="s">
        <v>42</v>
      </c>
      <c r="C25" s="3">
        <v>148379000000</v>
      </c>
      <c r="D25" s="3">
        <v>19813000000</v>
      </c>
      <c r="E25" s="4">
        <v>18200</v>
      </c>
      <c r="F25" s="5">
        <v>0.21</v>
      </c>
      <c r="G25" s="6">
        <f>D25*F25</f>
        <v>4160730000</v>
      </c>
      <c r="H25" s="6">
        <f>D25-G25</f>
        <v>15652270000</v>
      </c>
      <c r="I25" s="5">
        <v>0.8</v>
      </c>
      <c r="J25" s="6">
        <f>SUM(H25*I25)</f>
        <v>12521816000</v>
      </c>
      <c r="K25" s="5">
        <v>0.2</v>
      </c>
      <c r="L25" s="6">
        <f>H25*K25</f>
        <v>3130454000</v>
      </c>
      <c r="M25" s="6">
        <f>L25/E25</f>
        <v>172002.96703296702</v>
      </c>
      <c r="N25" s="5">
        <v>0.53</v>
      </c>
      <c r="O25" s="6">
        <f>D25*N25</f>
        <v>10500890000</v>
      </c>
      <c r="P25" s="6">
        <f>D25-O25</f>
        <v>9312110000</v>
      </c>
      <c r="Q25" s="5">
        <v>0.8</v>
      </c>
      <c r="R25" s="6">
        <f>SUM(P25*Q25)</f>
        <v>7449688000</v>
      </c>
      <c r="S25" s="5">
        <v>0.2</v>
      </c>
      <c r="T25" s="6">
        <f>P25*S25</f>
        <v>1862422000</v>
      </c>
      <c r="U25" s="6">
        <f>T25/E25</f>
        <v>102330.87912087912</v>
      </c>
    </row>
    <row r="26" spans="2:21" ht="15" customHeight="1" x14ac:dyDescent="0.3">
      <c r="B26" s="1" t="s">
        <v>43</v>
      </c>
      <c r="C26" s="3">
        <v>147399000000</v>
      </c>
      <c r="D26" s="3">
        <v>19313000000</v>
      </c>
      <c r="E26" s="4">
        <v>14000</v>
      </c>
      <c r="F26" s="5">
        <v>0.21</v>
      </c>
      <c r="G26" s="6">
        <f>D26*F26</f>
        <v>4055730000</v>
      </c>
      <c r="H26" s="6">
        <f>D26-G26</f>
        <v>15257270000</v>
      </c>
      <c r="I26" s="5">
        <v>0.8</v>
      </c>
      <c r="J26" s="6">
        <f>SUM(H26*I26)</f>
        <v>12205816000</v>
      </c>
      <c r="K26" s="5">
        <v>0.2</v>
      </c>
      <c r="L26" s="6">
        <f>H26*K26</f>
        <v>3051454000</v>
      </c>
      <c r="M26" s="6">
        <f>L26/E26</f>
        <v>217961</v>
      </c>
      <c r="N26" s="5">
        <v>0.53</v>
      </c>
      <c r="O26" s="6">
        <f>D26*N26</f>
        <v>10235890000</v>
      </c>
      <c r="P26" s="6">
        <f>D26-O26</f>
        <v>9077110000</v>
      </c>
      <c r="Q26" s="5">
        <v>0.8</v>
      </c>
      <c r="R26" s="6">
        <f>SUM(P26*Q26)</f>
        <v>7261688000</v>
      </c>
      <c r="S26" s="5">
        <v>0.2</v>
      </c>
      <c r="T26" s="6">
        <f>P26*S26</f>
        <v>1815422000</v>
      </c>
      <c r="U26" s="6">
        <f>T26/E26</f>
        <v>129673</v>
      </c>
    </row>
    <row r="27" spans="2:21" ht="15" customHeight="1" x14ac:dyDescent="0.3">
      <c r="B27" s="1" t="s">
        <v>44</v>
      </c>
      <c r="C27" s="3">
        <v>144766000000</v>
      </c>
      <c r="D27" s="3">
        <v>12932000000</v>
      </c>
      <c r="E27" s="4">
        <v>9908</v>
      </c>
      <c r="F27" s="5">
        <v>0.21</v>
      </c>
      <c r="G27" s="6">
        <f>D27*F27</f>
        <v>2715720000</v>
      </c>
      <c r="H27" s="6">
        <f>D27-G27</f>
        <v>10216280000</v>
      </c>
      <c r="I27" s="5">
        <v>0.8</v>
      </c>
      <c r="J27" s="6">
        <f>SUM(H27*I27)</f>
        <v>8173024000</v>
      </c>
      <c r="K27" s="5">
        <v>0.2</v>
      </c>
      <c r="L27" s="6">
        <f>H27*K27</f>
        <v>2043256000</v>
      </c>
      <c r="M27" s="6">
        <f>L27/E27</f>
        <v>206222.85022204279</v>
      </c>
      <c r="N27" s="5">
        <v>0.53</v>
      </c>
      <c r="O27" s="6">
        <f>D27*N27</f>
        <v>6853960000</v>
      </c>
      <c r="P27" s="6">
        <f>D27-O27</f>
        <v>6078040000</v>
      </c>
      <c r="Q27" s="5">
        <v>0.8</v>
      </c>
      <c r="R27" s="6">
        <f>SUM(P27*Q27)</f>
        <v>4862432000</v>
      </c>
      <c r="S27" s="5">
        <v>0.2</v>
      </c>
      <c r="T27" s="6">
        <f>P27*S27</f>
        <v>1215608000</v>
      </c>
      <c r="U27" s="6">
        <f>T27/E27</f>
        <v>122689.54380298748</v>
      </c>
    </row>
    <row r="28" spans="2:21" ht="15" customHeight="1" x14ac:dyDescent="0.3">
      <c r="B28" s="1" t="s">
        <v>45</v>
      </c>
      <c r="C28" s="3">
        <v>139081000000</v>
      </c>
      <c r="D28" s="3">
        <v>27072000000</v>
      </c>
      <c r="E28" s="4">
        <v>331000</v>
      </c>
      <c r="F28" s="5">
        <v>0.21</v>
      </c>
      <c r="G28" s="6">
        <f>D28*F28</f>
        <v>5685120000</v>
      </c>
      <c r="H28" s="6">
        <f>D28-G28</f>
        <v>21386880000</v>
      </c>
      <c r="I28" s="5">
        <v>0.8</v>
      </c>
      <c r="J28" s="6">
        <f>SUM(H28*I28)</f>
        <v>17109504000</v>
      </c>
      <c r="K28" s="5">
        <v>0.2</v>
      </c>
      <c r="L28" s="6">
        <f>H28*K28</f>
        <v>4277376000</v>
      </c>
      <c r="M28" s="6">
        <f>L28/E28</f>
        <v>12922.586102719033</v>
      </c>
      <c r="N28" s="5">
        <v>0.53</v>
      </c>
      <c r="O28" s="6">
        <f>D28*N28</f>
        <v>14348160000</v>
      </c>
      <c r="P28" s="6">
        <f>D28-O28</f>
        <v>12723840000</v>
      </c>
      <c r="Q28" s="5">
        <v>0.8</v>
      </c>
      <c r="R28" s="6">
        <f>SUM(P28*Q28)</f>
        <v>10179072000</v>
      </c>
      <c r="S28" s="5">
        <v>0.2</v>
      </c>
      <c r="T28" s="6">
        <f>P28*S28</f>
        <v>2544768000</v>
      </c>
      <c r="U28" s="6">
        <f>T28/E28</f>
        <v>7688.1208459214504</v>
      </c>
    </row>
    <row r="29" spans="2:21" ht="15" customHeight="1" x14ac:dyDescent="0.3">
      <c r="B29" s="1" t="s">
        <v>46</v>
      </c>
      <c r="C29" s="3">
        <v>134902000000</v>
      </c>
      <c r="D29" s="3">
        <v>108943000000</v>
      </c>
      <c r="E29" s="4">
        <v>67317</v>
      </c>
      <c r="F29" s="5">
        <v>0.21</v>
      </c>
      <c r="G29" s="6">
        <f>D29*F29</f>
        <v>22878030000</v>
      </c>
      <c r="H29" s="6">
        <f>D29-G29</f>
        <v>86064970000</v>
      </c>
      <c r="I29" s="5">
        <v>0.8</v>
      </c>
      <c r="J29" s="6">
        <f>SUM(H29*I29)</f>
        <v>68851976000</v>
      </c>
      <c r="K29" s="5">
        <v>0.2</v>
      </c>
      <c r="L29" s="6">
        <f>H29*K29</f>
        <v>17212994000</v>
      </c>
      <c r="M29" s="6">
        <f>L29/E29</f>
        <v>255700.55112378745</v>
      </c>
      <c r="N29" s="5">
        <v>0.53</v>
      </c>
      <c r="O29" s="6">
        <f>D29*N29</f>
        <v>57739790000</v>
      </c>
      <c r="P29" s="6">
        <f>D29-O29</f>
        <v>51203210000</v>
      </c>
      <c r="Q29" s="5">
        <v>0.8</v>
      </c>
      <c r="R29" s="6">
        <f>SUM(P29*Q29)</f>
        <v>40962568000</v>
      </c>
      <c r="S29" s="5">
        <v>0.2</v>
      </c>
      <c r="T29" s="6">
        <f>P29*S29</f>
        <v>10240642000</v>
      </c>
      <c r="U29" s="6">
        <f>T29/E29</f>
        <v>152125.64433946848</v>
      </c>
    </row>
    <row r="30" spans="2:21" ht="15" customHeight="1" x14ac:dyDescent="0.3">
      <c r="B30" s="1" t="s">
        <v>47</v>
      </c>
      <c r="C30" s="3">
        <v>133974000000</v>
      </c>
      <c r="D30" s="3">
        <v>79087000000</v>
      </c>
      <c r="E30" s="4">
        <v>105400</v>
      </c>
      <c r="F30" s="5">
        <v>0.21</v>
      </c>
      <c r="G30" s="6">
        <f>D30*F30</f>
        <v>16608270000</v>
      </c>
      <c r="H30" s="6">
        <f>D30-G30</f>
        <v>62478730000</v>
      </c>
      <c r="I30" s="5">
        <v>0.8</v>
      </c>
      <c r="J30" s="6">
        <f>SUM(H30*I30)</f>
        <v>49982984000</v>
      </c>
      <c r="K30" s="5">
        <v>0.2</v>
      </c>
      <c r="L30" s="6">
        <f>H30*K30</f>
        <v>12495746000</v>
      </c>
      <c r="M30" s="6">
        <f>L30/E30</f>
        <v>118555.46489563567</v>
      </c>
      <c r="N30" s="5">
        <v>0.53</v>
      </c>
      <c r="O30" s="6">
        <f>D30*N30</f>
        <v>41916110000</v>
      </c>
      <c r="P30" s="6">
        <f>D30-O30</f>
        <v>37170890000</v>
      </c>
      <c r="Q30" s="5">
        <v>0.8</v>
      </c>
      <c r="R30" s="6">
        <f>SUM(P30*Q30)</f>
        <v>29736712000</v>
      </c>
      <c r="S30" s="5">
        <v>0.2</v>
      </c>
      <c r="T30" s="6">
        <f>P30*S30</f>
        <v>7434178000</v>
      </c>
      <c r="U30" s="6">
        <f>T30/E30</f>
        <v>70532.998102466794</v>
      </c>
    </row>
    <row r="31" spans="2:21" ht="15" customHeight="1" x14ac:dyDescent="0.3">
      <c r="B31" s="1" t="s">
        <v>48</v>
      </c>
      <c r="C31" s="3">
        <v>122428000000</v>
      </c>
      <c r="D31" s="3">
        <v>72305000000</v>
      </c>
      <c r="E31" s="4">
        <v>149900</v>
      </c>
      <c r="F31" s="5">
        <v>0.21</v>
      </c>
      <c r="G31" s="6">
        <f>D31*F31</f>
        <v>15184050000</v>
      </c>
      <c r="H31" s="6">
        <f>D31-G31</f>
        <v>57120950000</v>
      </c>
      <c r="I31" s="5">
        <v>0.8</v>
      </c>
      <c r="J31" s="6">
        <f>SUM(H31*I31)</f>
        <v>45696760000</v>
      </c>
      <c r="K31" s="5">
        <v>0.2</v>
      </c>
      <c r="L31" s="6">
        <f>H31*K31</f>
        <v>11424190000</v>
      </c>
      <c r="M31" s="6">
        <f>L31/E31</f>
        <v>76212.074716477655</v>
      </c>
      <c r="N31" s="5">
        <v>0.53</v>
      </c>
      <c r="O31" s="6">
        <f>D31*N31</f>
        <v>38321650000</v>
      </c>
      <c r="P31" s="6">
        <f>D31-O31</f>
        <v>33983350000</v>
      </c>
      <c r="Q31" s="5">
        <v>0.8</v>
      </c>
      <c r="R31" s="6">
        <f>SUM(P31*Q31)</f>
        <v>27186680000</v>
      </c>
      <c r="S31" s="5">
        <v>0.2</v>
      </c>
      <c r="T31" s="6">
        <f>P31*S31</f>
        <v>6796670000</v>
      </c>
      <c r="U31" s="6">
        <f>T31/E31</f>
        <v>45341.360907271512</v>
      </c>
    </row>
    <row r="32" spans="2:21" ht="15" customHeight="1" x14ac:dyDescent="0.3">
      <c r="B32" s="1" t="s">
        <v>49</v>
      </c>
      <c r="C32" s="3">
        <v>121572000000</v>
      </c>
      <c r="D32" s="3">
        <v>45620000000</v>
      </c>
      <c r="E32" s="4">
        <v>186000</v>
      </c>
      <c r="F32" s="5">
        <v>0.21</v>
      </c>
      <c r="G32" s="6">
        <f>D32*F32</f>
        <v>9580200000</v>
      </c>
      <c r="H32" s="6">
        <f>D32-G32</f>
        <v>36039800000</v>
      </c>
      <c r="I32" s="5">
        <v>0.8</v>
      </c>
      <c r="J32" s="6">
        <f>SUM(H32*I32)</f>
        <v>28831840000</v>
      </c>
      <c r="K32" s="5">
        <v>0.2</v>
      </c>
      <c r="L32" s="6">
        <f>H32*K32</f>
        <v>7207960000</v>
      </c>
      <c r="M32" s="6">
        <f>L32/E32</f>
        <v>38752.473118279573</v>
      </c>
      <c r="N32" s="5">
        <v>0.53</v>
      </c>
      <c r="O32" s="6">
        <f>D32*N32</f>
        <v>24178600000</v>
      </c>
      <c r="P32" s="6">
        <f>D32-O32</f>
        <v>21441400000</v>
      </c>
      <c r="Q32" s="5">
        <v>0.8</v>
      </c>
      <c r="R32" s="6">
        <f>SUM(P32*Q32)</f>
        <v>17153120000</v>
      </c>
      <c r="S32" s="5">
        <v>0.2</v>
      </c>
      <c r="T32" s="6">
        <f>P32*S32</f>
        <v>4288280000</v>
      </c>
      <c r="U32" s="6">
        <f>T32/E32</f>
        <v>23055.268817204302</v>
      </c>
    </row>
    <row r="33" spans="2:21" ht="15" customHeight="1" x14ac:dyDescent="0.3">
      <c r="B33" s="1" t="s">
        <v>50</v>
      </c>
      <c r="C33" s="3">
        <f>SUBTOTAL(109,Table13[Revenue-2023])</f>
        <v>7254354000000</v>
      </c>
      <c r="D33" s="3">
        <f>SUBTOTAL(109,Table13[Gross Profits-2023])</f>
        <v>2536325000000</v>
      </c>
      <c r="E33" s="4">
        <f>SUBTOTAL(109,Table13[Employees])</f>
        <v>8610653</v>
      </c>
      <c r="F33" s="7">
        <f>SUBTOTAL(101,Table13[Corporate Tax Rate-2023 Rate])</f>
        <v>0.21</v>
      </c>
      <c r="G33" s="6">
        <f>SUBTOTAL(109,Table13[Corporate Tax-2023 Rate])</f>
        <v>532628250000</v>
      </c>
      <c r="H33" s="6">
        <f>SUBTOTAL(109,Table13[Post Tax Balance-2023 Rate])</f>
        <v>2003696750000</v>
      </c>
      <c r="I33" s="7">
        <f>SUBTOTAL(101,Table13[Corporate Entitlement-2023 Rate])</f>
        <v>0.80000000000000038</v>
      </c>
      <c r="J33" s="6">
        <f>SUBTOTAL(109,Table13[Corporate Entitlement Amount-2023 Rate])</f>
        <v>1602957400000</v>
      </c>
      <c r="K33" s="7">
        <f>SUBTOTAL(101,Table13[Employee Entitlement-2023 Rate])</f>
        <v>0.20000000000000009</v>
      </c>
      <c r="L33" s="6">
        <f>SUBTOTAL(109,Table13[Employee Entitlement Amount-2023 Rate])</f>
        <v>400739350000</v>
      </c>
      <c r="M33" s="6">
        <f>SUBTOTAL(109,Table13[Yearly Raise Per Employee-2023 Rate])</f>
        <v>2956076.5846495763</v>
      </c>
      <c r="N33" s="7">
        <f>SUBTOTAL(101,Table13[Corporate Tax Rate-1942 Rate])</f>
        <v>0.5299999999999998</v>
      </c>
      <c r="O33" s="6">
        <f>SUBTOTAL(109,Table13[Corporate Tax-1942 Rate])</f>
        <v>1344252250000</v>
      </c>
      <c r="P33" s="6">
        <f>SUBTOTAL(109,Table13[Post Tax Balance-1942 Rate])</f>
        <v>1192072750000</v>
      </c>
      <c r="Q33" s="7">
        <f>SUBTOTAL(101,Table13[Corporate Entitlement-1942 Rate])</f>
        <v>0.80000000000000038</v>
      </c>
      <c r="R33" s="6">
        <f>SUBTOTAL(109,Table13[Corporate Entitlement Amount-1942 Rate])</f>
        <v>953658200000</v>
      </c>
      <c r="S33" s="7">
        <f>SUBTOTAL(109,Table13[Employee Entitlement-1942 Rate])</f>
        <v>6.0000000000000027</v>
      </c>
      <c r="T33" s="6">
        <f>SUBTOTAL(109,Table13[Employee Entitlement Amount-1942 Rate])</f>
        <v>238414550000</v>
      </c>
      <c r="U33" s="6">
        <f>SUBTOTAL(109,Table13[Yearly Raise Per Employee-1942 Rate])</f>
        <v>1758678.4744117735</v>
      </c>
    </row>
    <row r="34" spans="2:21" ht="15" customHeight="1" x14ac:dyDescent="0.3"/>
    <row r="35" spans="2:21" ht="15" customHeight="1" x14ac:dyDescent="0.3"/>
    <row r="36" spans="2:21" ht="15" customHeight="1" x14ac:dyDescent="0.3">
      <c r="B36" s="8" t="s">
        <v>51</v>
      </c>
      <c r="C36" s="8" t="s">
        <v>52</v>
      </c>
      <c r="D36" s="8" t="s">
        <v>53</v>
      </c>
      <c r="E36" s="8" t="s">
        <v>54</v>
      </c>
      <c r="F36" s="8" t="s">
        <v>55</v>
      </c>
      <c r="G36" s="8" t="s">
        <v>56</v>
      </c>
    </row>
    <row r="37" spans="2:21" ht="15" customHeight="1" x14ac:dyDescent="0.3">
      <c r="B37" s="9" t="s">
        <v>57</v>
      </c>
      <c r="C37" s="10">
        <v>220000000000</v>
      </c>
      <c r="D37" s="10">
        <f>SUM(Table13[[#Totals],[Corporate Tax-2023 Rate]])</f>
        <v>532628250000</v>
      </c>
      <c r="E37" s="10">
        <f>C37-D37</f>
        <v>-312628250000</v>
      </c>
      <c r="F37" s="10">
        <f>SUM(Table13[[#Totals],[Corporate Tax-1942 Rate]])</f>
        <v>1344252250000</v>
      </c>
      <c r="G37" s="10">
        <f>C37-F37</f>
        <v>-1124252250000</v>
      </c>
      <c r="O37" s="6"/>
    </row>
    <row r="38" spans="2:21" ht="15" customHeight="1" x14ac:dyDescent="0.3">
      <c r="B38" s="9" t="s">
        <v>58</v>
      </c>
      <c r="C38" s="10">
        <v>1600000000000</v>
      </c>
      <c r="D38" s="10">
        <f>SUM(Table13[[#Totals],[Corporate Tax-2023 Rate]])</f>
        <v>532628250000</v>
      </c>
      <c r="E38" s="10">
        <f t="shared" ref="E38:E46" si="0">C38-D38</f>
        <v>1067371750000</v>
      </c>
      <c r="F38" s="10">
        <f>SUM(Table13[[#Totals],[Corporate Tax-1942 Rate]])</f>
        <v>1344252250000</v>
      </c>
      <c r="G38" s="10">
        <f t="shared" ref="G38:G46" si="1">C38-F38</f>
        <v>255747750000</v>
      </c>
      <c r="O38" s="6"/>
    </row>
    <row r="39" spans="2:21" ht="15" customHeight="1" x14ac:dyDescent="0.3">
      <c r="B39" s="11" t="s">
        <v>59</v>
      </c>
      <c r="C39" s="12">
        <v>1727000000000</v>
      </c>
      <c r="D39" s="12">
        <f>SUM(Table13[[#Totals],[Corporate Tax-2023 Rate]])</f>
        <v>532628250000</v>
      </c>
      <c r="E39" s="12">
        <f t="shared" si="0"/>
        <v>1194371750000</v>
      </c>
      <c r="F39" s="12">
        <f>SUM(Table13[[#Totals],[Corporate Tax-1942 Rate]])</f>
        <v>1344252250000</v>
      </c>
      <c r="G39" s="12">
        <f t="shared" si="1"/>
        <v>382747750000</v>
      </c>
      <c r="H39" s="6"/>
      <c r="O39" s="6"/>
    </row>
    <row r="40" spans="2:21" ht="15" customHeight="1" x14ac:dyDescent="0.3">
      <c r="B40" s="11" t="s">
        <v>60</v>
      </c>
      <c r="C40" s="12">
        <v>290000000000</v>
      </c>
      <c r="D40" s="12">
        <f>SUM(Table13[[#Totals],[Corporate Tax-2023 Rate]])</f>
        <v>532628250000</v>
      </c>
      <c r="E40" s="12">
        <f t="shared" si="0"/>
        <v>-242628250000</v>
      </c>
      <c r="F40" s="12">
        <f>SUM(Table13[[#Totals],[Corporate Tax-1942 Rate]])</f>
        <v>1344252250000</v>
      </c>
      <c r="G40" s="12">
        <f t="shared" si="1"/>
        <v>-1054252250000</v>
      </c>
      <c r="O40" s="6"/>
    </row>
    <row r="41" spans="2:21" ht="15" customHeight="1" x14ac:dyDescent="0.3">
      <c r="B41" s="11" t="s">
        <v>61</v>
      </c>
      <c r="C41" s="12">
        <v>305000000000</v>
      </c>
      <c r="D41" s="12">
        <f>SUM(Table13[[#Totals],[Corporate Tax-2023 Rate]])</f>
        <v>532628250000</v>
      </c>
      <c r="E41" s="12">
        <f t="shared" si="0"/>
        <v>-227628250000</v>
      </c>
      <c r="F41" s="12">
        <f>SUM(Table13[[#Totals],[Corporate Tax-1942 Rate]])</f>
        <v>1344252250000</v>
      </c>
      <c r="G41" s="12">
        <f t="shared" si="1"/>
        <v>-1039252250000</v>
      </c>
      <c r="O41" s="6"/>
    </row>
    <row r="42" spans="2:21" ht="15" customHeight="1" x14ac:dyDescent="0.3">
      <c r="B42" s="11" t="s">
        <v>62</v>
      </c>
      <c r="C42" s="12">
        <v>700000000000</v>
      </c>
      <c r="D42" s="12">
        <f>SUM(Table13[[#Totals],[Corporate Tax-2023 Rate]])</f>
        <v>532628250000</v>
      </c>
      <c r="E42" s="12">
        <f t="shared" si="0"/>
        <v>167371750000</v>
      </c>
      <c r="F42" s="12">
        <f>SUM(Table13[[#Totals],[Corporate Tax-1942 Rate]])</f>
        <v>1344252250000</v>
      </c>
      <c r="G42" s="12">
        <f t="shared" si="1"/>
        <v>-644252250000</v>
      </c>
      <c r="O42" s="6"/>
    </row>
    <row r="43" spans="2:21" ht="15" customHeight="1" x14ac:dyDescent="0.3">
      <c r="B43" s="11" t="s">
        <v>63</v>
      </c>
      <c r="C43" s="12">
        <v>2520000000000</v>
      </c>
      <c r="D43" s="12">
        <f>SUM(Table13[[#Totals],[Corporate Tax-2023 Rate]])</f>
        <v>532628250000</v>
      </c>
      <c r="E43" s="12">
        <f t="shared" si="0"/>
        <v>1987371750000</v>
      </c>
      <c r="F43" s="12">
        <f>SUM(Table13[[#Totals],[Corporate Tax-1942 Rate]])</f>
        <v>1344252250000</v>
      </c>
      <c r="G43" s="12">
        <f t="shared" si="1"/>
        <v>1175747750000</v>
      </c>
      <c r="O43" s="6"/>
    </row>
    <row r="44" spans="2:21" ht="15" customHeight="1" x14ac:dyDescent="0.3">
      <c r="B44" s="11" t="s">
        <v>64</v>
      </c>
      <c r="C44" s="12">
        <v>27800000000</v>
      </c>
      <c r="D44" s="12">
        <f>SUM(Table13[[#Totals],[Corporate Tax-2023 Rate]])</f>
        <v>532628250000</v>
      </c>
      <c r="E44" s="12">
        <f t="shared" si="0"/>
        <v>-504828250000</v>
      </c>
      <c r="F44" s="12">
        <f>SUM(Table13[[#Totals],[Corporate Tax-1942 Rate]])</f>
        <v>1344252250000</v>
      </c>
      <c r="G44" s="12">
        <f t="shared" si="1"/>
        <v>-1316452250000</v>
      </c>
      <c r="O44" s="6"/>
    </row>
    <row r="45" spans="2:21" ht="15" customHeight="1" x14ac:dyDescent="0.3">
      <c r="B45" s="11" t="s">
        <v>65</v>
      </c>
      <c r="C45" s="12">
        <v>58200000000</v>
      </c>
      <c r="D45" s="12">
        <f>SUM(Table13[[#Totals],[Corporate Tax-2023 Rate]])</f>
        <v>532628250000</v>
      </c>
      <c r="E45" s="12">
        <f t="shared" si="0"/>
        <v>-474428250000</v>
      </c>
      <c r="F45" s="12">
        <f>SUM(Table13[[#Totals],[Corporate Tax-1942 Rate]])</f>
        <v>1344252250000</v>
      </c>
      <c r="G45" s="12">
        <f t="shared" si="1"/>
        <v>-1286052250000</v>
      </c>
      <c r="O45" s="6"/>
    </row>
    <row r="46" spans="2:21" ht="15" customHeight="1" x14ac:dyDescent="0.3">
      <c r="B46" s="11" t="s">
        <v>66</v>
      </c>
      <c r="C46" s="12">
        <v>95400000000</v>
      </c>
      <c r="D46" s="12">
        <f>SUM(Table13[[#Totals],[Corporate Tax-2023 Rate]])</f>
        <v>532628250000</v>
      </c>
      <c r="E46" s="12">
        <f t="shared" si="0"/>
        <v>-437228250000</v>
      </c>
      <c r="F46" s="12">
        <f>SUM(Table13[[#Totals],[Corporate Tax-1942 Rate]])</f>
        <v>1344252250000</v>
      </c>
      <c r="G46" s="12">
        <f t="shared" si="1"/>
        <v>-1248852250000</v>
      </c>
      <c r="O46" s="6"/>
    </row>
    <row r="47" spans="2:21" ht="15" customHeight="1" x14ac:dyDescent="0.3"/>
    <row r="48" spans="2:21" ht="15" customHeight="1" x14ac:dyDescent="0.3">
      <c r="B48" s="13" t="s">
        <v>67</v>
      </c>
      <c r="C48" s="13"/>
      <c r="D48" s="13"/>
    </row>
    <row r="49" spans="2:4" ht="15" customHeight="1" x14ac:dyDescent="0.3">
      <c r="B49" s="14" t="s">
        <v>68</v>
      </c>
      <c r="C49" s="15">
        <f>SUM(C50,C51,C55,C56,C57,C58)</f>
        <v>4476060000000</v>
      </c>
      <c r="D49" s="19" t="s">
        <v>69</v>
      </c>
    </row>
    <row r="50" spans="2:4" ht="15" customHeight="1" x14ac:dyDescent="0.3">
      <c r="B50" s="14" t="s">
        <v>70</v>
      </c>
      <c r="C50" s="15">
        <v>2180000000000</v>
      </c>
      <c r="D50" s="18">
        <f>SUM(C50/$C$49)</f>
        <v>0.48703547316166451</v>
      </c>
    </row>
    <row r="51" spans="2:4" ht="15" customHeight="1" x14ac:dyDescent="0.3">
      <c r="B51" s="14" t="s">
        <v>71</v>
      </c>
      <c r="C51" s="15">
        <f>SUM(C52:C54)</f>
        <v>1639480000000</v>
      </c>
      <c r="D51" s="18">
        <f>SUM(C51/$C$49)</f>
        <v>0.36627748510967234</v>
      </c>
    </row>
    <row r="52" spans="2:4" ht="15" customHeight="1" x14ac:dyDescent="0.3">
      <c r="B52" s="1" t="s">
        <v>72</v>
      </c>
      <c r="C52" s="6">
        <v>363100000000</v>
      </c>
      <c r="D52" s="16"/>
    </row>
    <row r="53" spans="2:4" ht="15" customHeight="1" x14ac:dyDescent="0.3">
      <c r="B53" s="1" t="s">
        <v>73</v>
      </c>
      <c r="C53" s="6">
        <v>1220000000000</v>
      </c>
      <c r="D53" s="16"/>
    </row>
    <row r="54" spans="2:4" ht="15" customHeight="1" x14ac:dyDescent="0.3">
      <c r="B54" s="1" t="s">
        <v>74</v>
      </c>
      <c r="C54" s="6">
        <v>56380000000</v>
      </c>
      <c r="D54" s="16"/>
    </row>
    <row r="55" spans="2:4" ht="15" customHeight="1" x14ac:dyDescent="0.3">
      <c r="B55" s="14" t="s">
        <v>75</v>
      </c>
      <c r="C55" s="15">
        <v>419600000000</v>
      </c>
      <c r="D55" s="18">
        <f>SUM(C55/$C$49)</f>
        <v>9.3743158045245148E-2</v>
      </c>
    </row>
    <row r="56" spans="2:4" ht="15" customHeight="1" x14ac:dyDescent="0.3">
      <c r="B56" s="14" t="s">
        <v>76</v>
      </c>
      <c r="C56" s="15">
        <v>80340000000</v>
      </c>
      <c r="D56" s="18">
        <f>SUM(C56/$C$49)</f>
        <v>1.7948821061379874E-2</v>
      </c>
    </row>
    <row r="57" spans="2:4" ht="15" customHeight="1" x14ac:dyDescent="0.3">
      <c r="B57" s="14" t="s">
        <v>77</v>
      </c>
      <c r="C57" s="15">
        <v>75810000000</v>
      </c>
      <c r="D57" s="18">
        <f>SUM(C57/$C$49)</f>
        <v>1.6936770284580637E-2</v>
      </c>
    </row>
    <row r="58" spans="2:4" ht="15" customHeight="1" x14ac:dyDescent="0.3">
      <c r="B58" s="14" t="s">
        <v>74</v>
      </c>
      <c r="C58" s="15">
        <v>80830000000</v>
      </c>
      <c r="D58" s="18">
        <f>SUM(C58/$C$49)</f>
        <v>1.8058292337457496E-2</v>
      </c>
    </row>
    <row r="59" spans="2:4" ht="15" customHeight="1" x14ac:dyDescent="0.3">
      <c r="B59" s="1" t="s">
        <v>78</v>
      </c>
      <c r="C59" s="6">
        <f>SUM(C49-C61)</f>
        <v>-1686000000000</v>
      </c>
    </row>
    <row r="60" spans="2:4" ht="15" customHeight="1" x14ac:dyDescent="0.3"/>
    <row r="61" spans="2:4" ht="15" customHeight="1" x14ac:dyDescent="0.3">
      <c r="B61" s="14" t="s">
        <v>79</v>
      </c>
      <c r="C61" s="15">
        <f>SUM(C62,C66,C69,C70,C76,C77,C83)</f>
        <v>6162060000000</v>
      </c>
      <c r="D61" s="19" t="s">
        <v>80</v>
      </c>
    </row>
    <row r="62" spans="2:4" ht="15" customHeight="1" x14ac:dyDescent="0.3">
      <c r="B62" s="14" t="s">
        <v>73</v>
      </c>
      <c r="C62" s="15">
        <f>SUM(C63:C65)</f>
        <v>1351770000000</v>
      </c>
      <c r="D62" s="18">
        <f>SUM(C62/$C$61)</f>
        <v>0.21936982113124506</v>
      </c>
    </row>
    <row r="63" spans="2:4" ht="15" customHeight="1" x14ac:dyDescent="0.3">
      <c r="B63" s="1" t="s">
        <v>81</v>
      </c>
      <c r="C63" s="6">
        <v>1150000000000</v>
      </c>
      <c r="D63" s="16"/>
    </row>
    <row r="64" spans="2:4" ht="15" customHeight="1" x14ac:dyDescent="0.3">
      <c r="B64" s="1" t="s">
        <v>82</v>
      </c>
      <c r="C64" s="6">
        <v>150900000000</v>
      </c>
      <c r="D64" s="16"/>
    </row>
    <row r="65" spans="2:4" ht="15" customHeight="1" x14ac:dyDescent="0.3">
      <c r="B65" s="1" t="s">
        <v>74</v>
      </c>
      <c r="C65" s="6">
        <v>50870000000</v>
      </c>
      <c r="D65" s="16"/>
    </row>
    <row r="66" spans="2:4" ht="15" customHeight="1" x14ac:dyDescent="0.3">
      <c r="B66" s="14" t="s">
        <v>83</v>
      </c>
      <c r="C66" s="15">
        <f>SUM(C67:C68)</f>
        <v>1127500000000</v>
      </c>
      <c r="D66" s="18">
        <f>SUM(C66/$C$61)</f>
        <v>0.18297452475308582</v>
      </c>
    </row>
    <row r="67" spans="2:4" ht="15" customHeight="1" x14ac:dyDescent="0.3">
      <c r="B67" s="1" t="s">
        <v>84</v>
      </c>
      <c r="C67" s="6">
        <v>828900000000</v>
      </c>
      <c r="D67" s="16"/>
    </row>
    <row r="68" spans="2:4" ht="15" customHeight="1" x14ac:dyDescent="0.3">
      <c r="B68" s="1" t="s">
        <v>85</v>
      </c>
      <c r="C68" s="6">
        <v>298600000000</v>
      </c>
      <c r="D68" s="16"/>
    </row>
    <row r="69" spans="2:4" ht="15" customHeight="1" x14ac:dyDescent="0.3">
      <c r="B69" s="14" t="s">
        <v>72</v>
      </c>
      <c r="C69" s="15">
        <v>848200000000</v>
      </c>
      <c r="D69" s="18">
        <f>SUM(C69/$C$61)</f>
        <v>0.13764877329983805</v>
      </c>
    </row>
    <row r="70" spans="2:4" ht="15" customHeight="1" x14ac:dyDescent="0.3">
      <c r="B70" s="14" t="s">
        <v>86</v>
      </c>
      <c r="C70" s="15">
        <f>SUM(C71:C75)</f>
        <v>496410000000</v>
      </c>
      <c r="D70" s="18">
        <f>SUM(C70/$C$61)</f>
        <v>8.0559098742952848E-2</v>
      </c>
    </row>
    <row r="71" spans="2:4" ht="15" customHeight="1" x14ac:dyDescent="0.3">
      <c r="B71" s="1" t="s">
        <v>87</v>
      </c>
      <c r="C71" s="6">
        <v>125200000000</v>
      </c>
      <c r="D71" s="16"/>
    </row>
    <row r="72" spans="2:4" ht="15" customHeight="1" x14ac:dyDescent="0.3">
      <c r="B72" s="1" t="s">
        <v>88</v>
      </c>
      <c r="C72" s="6">
        <v>83440000000</v>
      </c>
      <c r="D72" s="16"/>
    </row>
    <row r="73" spans="2:4" ht="15" customHeight="1" x14ac:dyDescent="0.3">
      <c r="B73" s="1" t="s">
        <v>89</v>
      </c>
      <c r="C73" s="6">
        <v>62000000000</v>
      </c>
      <c r="D73" s="16"/>
    </row>
    <row r="74" spans="2:4" ht="15" customHeight="1" x14ac:dyDescent="0.3">
      <c r="B74" s="1" t="s">
        <v>90</v>
      </c>
      <c r="C74" s="6">
        <v>55470000000</v>
      </c>
      <c r="D74" s="16"/>
    </row>
    <row r="75" spans="2:4" ht="15" customHeight="1" x14ac:dyDescent="0.3">
      <c r="B75" s="1" t="s">
        <v>91</v>
      </c>
      <c r="C75" s="6">
        <v>170300000000</v>
      </c>
      <c r="D75" s="16"/>
    </row>
    <row r="76" spans="2:4" ht="15" customHeight="1" x14ac:dyDescent="0.3">
      <c r="B76" s="14" t="s">
        <v>92</v>
      </c>
      <c r="C76" s="15">
        <v>658800000000</v>
      </c>
      <c r="D76" s="18">
        <f>SUM(C76/$C$61)</f>
        <v>0.10691229880916447</v>
      </c>
    </row>
    <row r="77" spans="2:4" ht="15" customHeight="1" x14ac:dyDescent="0.3">
      <c r="B77" s="14" t="s">
        <v>93</v>
      </c>
      <c r="C77" s="15">
        <f>SUM(C78:C82)</f>
        <v>1087740000000</v>
      </c>
      <c r="D77" s="18">
        <f>SUM(C77/$C$61)</f>
        <v>0.17652213707753575</v>
      </c>
    </row>
    <row r="78" spans="2:4" ht="15" customHeight="1" x14ac:dyDescent="0.3">
      <c r="B78" s="1" t="s">
        <v>94</v>
      </c>
      <c r="C78" s="6">
        <v>633800000000</v>
      </c>
      <c r="D78" s="16"/>
    </row>
    <row r="79" spans="2:4" ht="15" customHeight="1" x14ac:dyDescent="0.3">
      <c r="B79" s="1" t="s">
        <v>95</v>
      </c>
      <c r="C79" s="6">
        <v>81500000000</v>
      </c>
      <c r="D79" s="16"/>
    </row>
    <row r="80" spans="2:4" ht="15" customHeight="1" x14ac:dyDescent="0.3">
      <c r="B80" s="1" t="s">
        <v>96</v>
      </c>
      <c r="C80" s="6">
        <v>67100000000</v>
      </c>
      <c r="D80" s="16"/>
    </row>
    <row r="81" spans="2:21" ht="15" customHeight="1" x14ac:dyDescent="0.3">
      <c r="B81" s="1" t="s">
        <v>97</v>
      </c>
      <c r="C81" s="6">
        <v>37140000000</v>
      </c>
      <c r="D81" s="16"/>
    </row>
    <row r="82" spans="2:21" ht="15" customHeight="1" x14ac:dyDescent="0.3">
      <c r="B82" s="1" t="s">
        <v>98</v>
      </c>
      <c r="C82" s="6">
        <v>268200000000</v>
      </c>
      <c r="D82" s="16"/>
    </row>
    <row r="83" spans="2:21" ht="15" customHeight="1" x14ac:dyDescent="0.3">
      <c r="B83" s="14" t="s">
        <v>99</v>
      </c>
      <c r="C83" s="15">
        <f>SUM(C84:C87)</f>
        <v>591640000000</v>
      </c>
      <c r="D83" s="18">
        <f>SUM(C83/$C$61)</f>
        <v>9.6013346186178003E-2</v>
      </c>
    </row>
    <row r="84" spans="2:21" ht="15" customHeight="1" x14ac:dyDescent="0.3">
      <c r="B84" s="1" t="s">
        <v>100</v>
      </c>
      <c r="C84" s="6">
        <v>100100000000</v>
      </c>
      <c r="D84" s="16"/>
    </row>
    <row r="85" spans="2:21" ht="15" customHeight="1" x14ac:dyDescent="0.3">
      <c r="B85" s="1" t="s">
        <v>101</v>
      </c>
      <c r="C85" s="6">
        <v>91510000000</v>
      </c>
      <c r="D85" s="16"/>
    </row>
    <row r="86" spans="2:21" ht="15" customHeight="1" x14ac:dyDescent="0.3">
      <c r="B86" s="1" t="s">
        <v>95</v>
      </c>
      <c r="C86" s="6">
        <v>44830000000</v>
      </c>
      <c r="D86" s="16"/>
    </row>
    <row r="87" spans="2:21" ht="15" customHeight="1" x14ac:dyDescent="0.3">
      <c r="B87" s="1" t="s">
        <v>74</v>
      </c>
      <c r="C87" s="6">
        <v>355200000000</v>
      </c>
      <c r="D87" s="16"/>
    </row>
    <row r="89" spans="2:21" ht="15" customHeight="1" x14ac:dyDescent="0.3"/>
    <row r="90" spans="2:21" ht="15" customHeight="1" x14ac:dyDescent="0.3">
      <c r="B90" s="1" t="s">
        <v>102</v>
      </c>
    </row>
    <row r="91" spans="2:21" ht="15" customHeight="1" x14ac:dyDescent="0.3">
      <c r="B91" s="17" t="s">
        <v>103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2:21" ht="15" customHeight="1" x14ac:dyDescent="0.3">
      <c r="B92" s="17" t="s">
        <v>104</v>
      </c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2:21" ht="15" customHeight="1" x14ac:dyDescent="0.3">
      <c r="B93" s="17" t="s">
        <v>105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2:21" ht="15" customHeight="1" x14ac:dyDescent="0.3">
      <c r="B94" s="17" t="s">
        <v>106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2:21" ht="15" customHeight="1" x14ac:dyDescent="0.3">
      <c r="B95" s="17" t="s">
        <v>107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2:21" ht="15" customHeight="1" x14ac:dyDescent="0.3">
      <c r="B96" s="17" t="s">
        <v>108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2:21" ht="15" customHeight="1" x14ac:dyDescent="0.3">
      <c r="B97" s="17" t="s">
        <v>109</v>
      </c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2:21" ht="15" customHeight="1" x14ac:dyDescent="0.3">
      <c r="B98" s="17" t="s">
        <v>110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2:21" ht="15" customHeight="1" x14ac:dyDescent="0.3">
      <c r="B99" s="17" t="s">
        <v>111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2:21" ht="15" customHeight="1" x14ac:dyDescent="0.3"/>
  </sheetData>
  <sheetProtection algorithmName="SHA-512" hashValue="K73bwTUJQ8NlXLWIsjb3YCU2q8Smi3vRNDlULQaH1ztc4199STqyIjleCUdI9PvAB4etwi7RBwkdx0t9a/uOCQ==" saltValue="wL1hIp+jp5m1P2cp+IvNkA==" spinCount="100000" sheet="1" objects="1" scenarios="1" formatColumns="0" formatRows="0"/>
  <mergeCells count="10">
    <mergeCell ref="B91:U91"/>
    <mergeCell ref="B99:U99"/>
    <mergeCell ref="B98:U98"/>
    <mergeCell ref="B97:U97"/>
    <mergeCell ref="B96:U96"/>
    <mergeCell ref="B48:D48"/>
    <mergeCell ref="B95:U95"/>
    <mergeCell ref="B94:U94"/>
    <mergeCell ref="B93:U93"/>
    <mergeCell ref="B92:U92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McIntyre</dc:creator>
  <cp:lastModifiedBy>David McIntyre</cp:lastModifiedBy>
  <dcterms:created xsi:type="dcterms:W3CDTF">2024-03-29T15:46:34Z</dcterms:created>
  <dcterms:modified xsi:type="dcterms:W3CDTF">2024-03-29T17:13:57Z</dcterms:modified>
</cp:coreProperties>
</file>